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5150" windowHeight="8010" activeTab="1"/>
  </bookViews>
  <sheets>
    <sheet name="Inst" sheetId="7" r:id="rId1"/>
    <sheet name="InstMan" sheetId="6" r:id="rId2"/>
    <sheet name="EnrlAll" sheetId="4" r:id="rId3"/>
    <sheet name="EnrlSC" sheetId="12" r:id="rId4"/>
    <sheet name="EnrlST" sheetId="14" r:id="rId5"/>
    <sheet name="Rural enrl" sheetId="50" state="hidden" r:id="rId6"/>
    <sheet name="%age Rural enrl" sheetId="51" state="hidden" r:id="rId7"/>
    <sheet name="Disabled" sheetId="52" state="hidden" r:id="rId8"/>
    <sheet name="EnrlOS" sheetId="48" r:id="rId9"/>
    <sheet name="Teacher" sheetId="26" r:id="rId10"/>
    <sheet name="TrainedTeacher" sheetId="28" r:id="rId11"/>
    <sheet name="F-MTeacher" sheetId="31" r:id="rId12"/>
    <sheet name="PTR" sheetId="29" r:id="rId13"/>
    <sheet name="GERAll" sheetId="16" r:id="rId14"/>
    <sheet name="GERSC" sheetId="18" r:id="rId15"/>
    <sheet name="GERST" sheetId="21" r:id="rId16"/>
    <sheet name="GPI" sheetId="32" r:id="rId17"/>
    <sheet name="GPISC" sheetId="33" r:id="rId18"/>
    <sheet name="GPIST" sheetId="34" r:id="rId19"/>
    <sheet name="G-B" sheetId="35" r:id="rId20"/>
    <sheet name="G-BSC" sheetId="36" r:id="rId21"/>
    <sheet name="G-BST" sheetId="37" r:id="rId22"/>
    <sheet name="DropOut" sheetId="23" r:id="rId23"/>
    <sheet name="Total Population " sheetId="38" r:id="rId24"/>
    <sheet name="SC-Population" sheetId="39" r:id="rId25"/>
    <sheet name="ST-Population" sheetId="40" r:id="rId26"/>
    <sheet name="Enrl-BackSeries" sheetId="24" r:id="rId27"/>
    <sheet name="Enrl-School" sheetId="27" r:id="rId28"/>
    <sheet name="PTR (2)" sheetId="30" state="hidden" r:id="rId29"/>
  </sheets>
  <externalReferences>
    <externalReference r:id="rId30"/>
    <externalReference r:id="rId31"/>
    <externalReference r:id="rId32"/>
    <externalReference r:id="rId33"/>
  </externalReferences>
  <definedNames>
    <definedName name="_xlnm._FilterDatabase" localSheetId="2" hidden="1">EnrlAll!$A$3:$BM$41</definedName>
    <definedName name="_xlnm._FilterDatabase" localSheetId="3" hidden="1">EnrlSC!$A$3:$BR$41</definedName>
    <definedName name="_xlnm.Print_Area" localSheetId="6">'%age Rural enrl'!$A$1:$BN$41</definedName>
    <definedName name="_xlnm.Print_Area" localSheetId="7">Disabled!$A$1:$BY$43</definedName>
    <definedName name="_xlnm.Print_Area" localSheetId="22">DropOut!$A$1:$AC$41</definedName>
    <definedName name="_xlnm.Print_Area" localSheetId="2">EnrlAll!$A$1:$BJ$41</definedName>
    <definedName name="_xlnm.Print_Area" localSheetId="26">'Enrl-BackSeries'!$A$1:$AC$41</definedName>
    <definedName name="_xlnm.Print_Area" localSheetId="8">EnrlOS!$A$1:$AL$42</definedName>
    <definedName name="_xlnm.Print_Area" localSheetId="3">EnrlSC!$A$1:$BJ$41</definedName>
    <definedName name="_xlnm.Print_Area" localSheetId="27">'Enrl-School'!$A$1:$Q$40</definedName>
    <definedName name="_xlnm.Print_Area" localSheetId="4">EnrlST!$A$1:$BJ$41</definedName>
    <definedName name="_xlnm.Print_Area" localSheetId="11">'F-MTeacher'!$A$1:$G$39</definedName>
    <definedName name="_xlnm.Print_Area" localSheetId="19">'G-B'!$A$1:$J$40</definedName>
    <definedName name="_xlnm.Print_Area" localSheetId="20">'G-BSC'!$A$1:$J$40</definedName>
    <definedName name="_xlnm.Print_Area" localSheetId="21">'G-BST'!$A$1:$J$40</definedName>
    <definedName name="_xlnm.Print_Area" localSheetId="13">GERAll!$A$1:$Z$41</definedName>
    <definedName name="_xlnm.Print_Area" localSheetId="14">GERSC!$A$1:$Z$41</definedName>
    <definedName name="_xlnm.Print_Area" localSheetId="15">GERST!$A$1:$Z$41</definedName>
    <definedName name="_xlnm.Print_Area" localSheetId="16">GPI!$A$1:$J$40</definedName>
    <definedName name="_xlnm.Print_Area" localSheetId="17">GPISC!$A$1:$J$40</definedName>
    <definedName name="_xlnm.Print_Area" localSheetId="18">GPIST!$A$1:$J$40</definedName>
    <definedName name="_xlnm.Print_Area" localSheetId="0">Inst!$A$1:$I$39</definedName>
    <definedName name="_xlnm.Print_Area" localSheetId="1">InstMan!$A$1:$AU$41</definedName>
    <definedName name="_xlnm.Print_Area" localSheetId="12">PTR!$A$1:$G$39</definedName>
    <definedName name="_xlnm.Print_Area" localSheetId="28">'PTR (2)'!$A$1:$G$39</definedName>
    <definedName name="_xlnm.Print_Area" localSheetId="5">'Rural enrl'!$A$1:$BN$41</definedName>
    <definedName name="_xlnm.Print_Area" localSheetId="24">'SC-Population'!$A$1:$N$41</definedName>
    <definedName name="_xlnm.Print_Area" localSheetId="25">'ST-Population'!$A$1:$N$41</definedName>
    <definedName name="_xlnm.Print_Area" localSheetId="9">Teacher!$A$1:$Q$40</definedName>
    <definedName name="_xlnm.Print_Area" localSheetId="23">'Total Population '!$A$1:$N$41</definedName>
    <definedName name="_xlnm.Print_Area" localSheetId="10">TrainedTeacher!$A$1:$G$39</definedName>
    <definedName name="_xlnm.Print_Titles" localSheetId="6">'%age Rural enrl'!$B$1:$C$65536</definedName>
    <definedName name="_xlnm.Print_Titles" localSheetId="7">Disabled!$A$1:$B$65536</definedName>
    <definedName name="_xlnm.Print_Titles" localSheetId="22">DropOut!$A:$B,DropOut!$1:$5</definedName>
    <definedName name="_xlnm.Print_Titles" localSheetId="2">EnrlAll!$A:$B,EnrlAll!$1:$5</definedName>
    <definedName name="_xlnm.Print_Titles" localSheetId="26">'Enrl-BackSeries'!$A:$B</definedName>
    <definedName name="_xlnm.Print_Titles" localSheetId="8">EnrlOS!$A:$B,EnrlOS!$3:$4</definedName>
    <definedName name="_xlnm.Print_Titles" localSheetId="3">EnrlSC!$A:$B,EnrlSC!$1:$5</definedName>
    <definedName name="_xlnm.Print_Titles" localSheetId="27">'Enrl-School'!$A:$B,'Enrl-School'!$2:$4</definedName>
    <definedName name="_xlnm.Print_Titles" localSheetId="4">EnrlST!$A:$B,EnrlST!$1:$5</definedName>
    <definedName name="_xlnm.Print_Titles" localSheetId="11">'F-MTeacher'!$A:$B,'F-MTeacher'!$2:$3</definedName>
    <definedName name="_xlnm.Print_Titles" localSheetId="19">'G-B'!$A:$B,'G-B'!$1:$4</definedName>
    <definedName name="_xlnm.Print_Titles" localSheetId="20">'G-BSC'!$A:$B,'G-BSC'!$1:$4</definedName>
    <definedName name="_xlnm.Print_Titles" localSheetId="21">'G-BST'!$A:$B,'G-BST'!$1:$4</definedName>
    <definedName name="_xlnm.Print_Titles" localSheetId="13">GERAll!$A:$B,GERAll!$1:$5</definedName>
    <definedName name="_xlnm.Print_Titles" localSheetId="14">GERSC!$A:$B,GERSC!$1:$5</definedName>
    <definedName name="_xlnm.Print_Titles" localSheetId="15">GERST!$A:$B,GERST!$1:$5</definedName>
    <definedName name="_xlnm.Print_Titles" localSheetId="16">GPI!$A:$B,GPI!$1:$4</definedName>
    <definedName name="_xlnm.Print_Titles" localSheetId="17">GPISC!$A:$B,GPISC!$1:$4</definedName>
    <definedName name="_xlnm.Print_Titles" localSheetId="18">GPIST!$A:$B,GPIST!$1:$4</definedName>
    <definedName name="_xlnm.Print_Titles" localSheetId="0">Inst!$A:$B,Inst!$2:$3</definedName>
    <definedName name="_xlnm.Print_Titles" localSheetId="1">InstMan!$A:$B,InstMan!$2:$5</definedName>
    <definedName name="_xlnm.Print_Titles" localSheetId="12">PTR!$A:$B,PTR!$2:$3</definedName>
    <definedName name="_xlnm.Print_Titles" localSheetId="28">'PTR (2)'!$A:$B,'PTR (2)'!$2:$3</definedName>
    <definedName name="_xlnm.Print_Titles" localSheetId="5">'Rural enrl'!$B$1:$C$65536</definedName>
    <definedName name="_xlnm.Print_Titles" localSheetId="24">'SC-Population'!$A:$B</definedName>
    <definedName name="_xlnm.Print_Titles" localSheetId="25">'ST-Population'!$A:$B</definedName>
    <definedName name="_xlnm.Print_Titles" localSheetId="9">Teacher!$A:$B,Teacher!$2:$4</definedName>
    <definedName name="_xlnm.Print_Titles" localSheetId="23">'Total Population '!$A:$B</definedName>
    <definedName name="_xlnm.Print_Titles" localSheetId="10">TrainedTeacher!$A:$B,TrainedTeacher!$2:$3</definedName>
  </definedNames>
  <calcPr calcId="125725"/>
</workbook>
</file>

<file path=xl/calcChain.xml><?xml version="1.0" encoding="utf-8"?>
<calcChain xmlns="http://schemas.openxmlformats.org/spreadsheetml/2006/main">
  <c r="AU41" i="6"/>
  <c r="AL41"/>
  <c r="AC41"/>
  <c r="T41"/>
  <c r="K41"/>
  <c r="AO17" i="14"/>
  <c r="BA27" i="4"/>
  <c r="AU23" i="6"/>
  <c r="AT23" s="1"/>
  <c r="AU24"/>
  <c r="AR24" s="1"/>
  <c r="AU25"/>
  <c r="AP25" s="1"/>
  <c r="AU26"/>
  <c r="AT26" s="1"/>
  <c r="AU27"/>
  <c r="AT27" s="1"/>
  <c r="AT24"/>
  <c r="AT11"/>
  <c r="AT15"/>
  <c r="AT16"/>
  <c r="AT17"/>
  <c r="AT18"/>
  <c r="AT19"/>
  <c r="AT20"/>
  <c r="AP28"/>
  <c r="AP11"/>
  <c r="AP15"/>
  <c r="AP16"/>
  <c r="AP17"/>
  <c r="AP18"/>
  <c r="AP19"/>
  <c r="AP20"/>
  <c r="AN26"/>
  <c r="AN28"/>
  <c r="AM29"/>
  <c r="AU29"/>
  <c r="AN29" s="1"/>
  <c r="J41" i="32"/>
  <c r="I41"/>
  <c r="H41"/>
  <c r="G41"/>
  <c r="F41"/>
  <c r="E41"/>
  <c r="D41"/>
  <c r="C41"/>
  <c r="B41"/>
  <c r="E49" i="16"/>
  <c r="F49"/>
  <c r="F48"/>
  <c r="E48"/>
  <c r="F47"/>
  <c r="E47"/>
  <c r="F46"/>
  <c r="E46"/>
  <c r="F47" i="28"/>
  <c r="F51"/>
  <c r="G43"/>
  <c r="G46"/>
  <c r="G47"/>
  <c r="G51"/>
  <c r="G52"/>
  <c r="G53"/>
  <c r="G54"/>
  <c r="G55"/>
  <c r="G58"/>
  <c r="G59"/>
  <c r="G60"/>
  <c r="G61"/>
  <c r="G65"/>
  <c r="G66"/>
  <c r="G67"/>
  <c r="G68"/>
  <c r="G41"/>
  <c r="E51"/>
  <c r="D51"/>
  <c r="C51"/>
  <c r="J44" i="26"/>
  <c r="K44"/>
  <c r="L44"/>
  <c r="M44"/>
  <c r="N44"/>
  <c r="G44"/>
  <c r="H44"/>
  <c r="I44"/>
  <c r="E44"/>
  <c r="F44"/>
  <c r="D44"/>
  <c r="Y47" i="4"/>
  <c r="Z47"/>
  <c r="AA47"/>
  <c r="AB47"/>
  <c r="AC47"/>
  <c r="AD47"/>
  <c r="AE47"/>
  <c r="AF47"/>
  <c r="AG47"/>
  <c r="AH47"/>
  <c r="AI47"/>
  <c r="X47"/>
  <c r="M25" i="27"/>
  <c r="L25"/>
  <c r="G23"/>
  <c r="F23"/>
  <c r="D20"/>
  <c r="C20"/>
  <c r="G20"/>
  <c r="F20"/>
  <c r="J20"/>
  <c r="I20"/>
  <c r="M20"/>
  <c r="L20"/>
  <c r="D34"/>
  <c r="C34"/>
  <c r="J24"/>
  <c r="I24"/>
  <c r="M26"/>
  <c r="L26"/>
  <c r="J26"/>
  <c r="I26"/>
  <c r="Q26"/>
  <c r="L37"/>
  <c r="H28"/>
  <c r="E28"/>
  <c r="G16"/>
  <c r="F16"/>
  <c r="Q24"/>
  <c r="N24"/>
  <c r="H24"/>
  <c r="E24"/>
  <c r="Q20"/>
  <c r="Q18"/>
  <c r="N18"/>
  <c r="K18"/>
  <c r="H18"/>
  <c r="E18"/>
  <c r="Q16"/>
  <c r="N16"/>
  <c r="K16"/>
  <c r="E16"/>
  <c r="M14"/>
  <c r="Q12"/>
  <c r="N12"/>
  <c r="K12"/>
  <c r="H12"/>
  <c r="E12"/>
  <c r="M8"/>
  <c r="L8"/>
  <c r="N7"/>
  <c r="K7"/>
  <c r="AR29" i="6" l="1"/>
  <c r="AP29"/>
  <c r="E20" i="27"/>
  <c r="AP26" i="6"/>
  <c r="AR25"/>
  <c r="AT25"/>
  <c r="E34" i="27"/>
  <c r="AN25" i="6"/>
  <c r="AR26"/>
  <c r="AP27"/>
  <c r="AP23"/>
  <c r="AN27"/>
  <c r="AN23"/>
  <c r="AP24"/>
  <c r="AR27"/>
  <c r="AR23"/>
  <c r="AN24"/>
  <c r="AT29"/>
  <c r="K24" i="27"/>
  <c r="N20"/>
  <c r="H20"/>
  <c r="H16"/>
  <c r="K20"/>
  <c r="K26"/>
  <c r="N26"/>
  <c r="M5"/>
  <c r="L5"/>
  <c r="D5"/>
  <c r="C5"/>
  <c r="AE29" i="14" l="1"/>
  <c r="AD29"/>
  <c r="AB29"/>
  <c r="AA29"/>
  <c r="Y29"/>
  <c r="X29"/>
  <c r="R29"/>
  <c r="S29"/>
  <c r="P29"/>
  <c r="O29"/>
  <c r="M29"/>
  <c r="L29"/>
  <c r="J29"/>
  <c r="I29"/>
  <c r="G29"/>
  <c r="F29"/>
  <c r="AE29" i="12"/>
  <c r="AD29"/>
  <c r="AA29"/>
  <c r="AB29"/>
  <c r="Y29"/>
  <c r="X29"/>
  <c r="S29"/>
  <c r="R29"/>
  <c r="P29"/>
  <c r="O29"/>
  <c r="M29"/>
  <c r="L29"/>
  <c r="J29"/>
  <c r="I29"/>
  <c r="G29"/>
  <c r="F29"/>
  <c r="AE29" i="4"/>
  <c r="AD29"/>
  <c r="AB29"/>
  <c r="AA29"/>
  <c r="Y29"/>
  <c r="X29"/>
  <c r="S29"/>
  <c r="R29"/>
  <c r="P29"/>
  <c r="O29"/>
  <c r="M29"/>
  <c r="L29"/>
  <c r="J29"/>
  <c r="I29"/>
  <c r="G29"/>
  <c r="F29"/>
  <c r="D29" i="14"/>
  <c r="C29"/>
  <c r="D29" i="12"/>
  <c r="C29"/>
  <c r="D29" i="4"/>
  <c r="C29"/>
  <c r="L41" i="24"/>
  <c r="D8" i="27" l="1"/>
  <c r="C8"/>
  <c r="N41" i="40"/>
  <c r="M41"/>
  <c r="L41"/>
  <c r="K41"/>
  <c r="J41"/>
  <c r="I41"/>
  <c r="H41"/>
  <c r="G41"/>
  <c r="F41"/>
  <c r="E41"/>
  <c r="D41"/>
  <c r="C41"/>
  <c r="N41" i="39"/>
  <c r="M41"/>
  <c r="L41"/>
  <c r="K41"/>
  <c r="J41"/>
  <c r="I41"/>
  <c r="H41"/>
  <c r="G41"/>
  <c r="F41"/>
  <c r="E41"/>
  <c r="D41"/>
  <c r="C41"/>
  <c r="D41" i="38"/>
  <c r="E41"/>
  <c r="F41"/>
  <c r="G41"/>
  <c r="H41"/>
  <c r="I41"/>
  <c r="J41"/>
  <c r="K41"/>
  <c r="L41"/>
  <c r="M41"/>
  <c r="N41"/>
  <c r="C41"/>
  <c r="BC9" i="14"/>
  <c r="BB9"/>
  <c r="AZ9"/>
  <c r="AY9"/>
  <c r="BC9" i="12"/>
  <c r="BB9"/>
  <c r="AZ9"/>
  <c r="AY9"/>
  <c r="BC9" i="4"/>
  <c r="BB9"/>
  <c r="AZ9"/>
  <c r="AY9"/>
  <c r="C9" i="6" l="1"/>
  <c r="U44" i="12" l="1"/>
  <c r="V44"/>
  <c r="W44"/>
  <c r="X44"/>
  <c r="Y44"/>
  <c r="Z44"/>
  <c r="AA44"/>
  <c r="AB44"/>
  <c r="AC44"/>
  <c r="S44"/>
  <c r="T44"/>
  <c r="R44"/>
  <c r="V39" i="4"/>
  <c r="K15" l="1"/>
  <c r="K16"/>
  <c r="AF27" i="12"/>
  <c r="AN15" i="6" l="1"/>
  <c r="AN16"/>
  <c r="G10" i="7"/>
  <c r="F6"/>
  <c r="G6"/>
  <c r="AC19" i="14"/>
  <c r="Q19" i="12"/>
  <c r="AC8"/>
  <c r="E20" i="4"/>
  <c r="N31" i="26"/>
  <c r="F67" i="28" s="1"/>
  <c r="E28" i="26"/>
  <c r="C64" i="28" s="1"/>
  <c r="AQ37" i="6"/>
  <c r="AN33"/>
  <c r="AD7"/>
  <c r="AB8"/>
  <c r="Z8"/>
  <c r="X8"/>
  <c r="AG12"/>
  <c r="D5" i="26"/>
  <c r="C5"/>
  <c r="C6" i="6"/>
  <c r="I6"/>
  <c r="BC6" i="14"/>
  <c r="BB6"/>
  <c r="AZ6"/>
  <c r="AY6"/>
  <c r="BC6" i="12"/>
  <c r="BB6"/>
  <c r="AZ6"/>
  <c r="AY6"/>
  <c r="BC6" i="4"/>
  <c r="BB6"/>
  <c r="AZ6"/>
  <c r="AY6"/>
  <c r="C34" i="6"/>
  <c r="BC8" i="14"/>
  <c r="BB8"/>
  <c r="AZ8"/>
  <c r="AY8"/>
  <c r="AQ8"/>
  <c r="AP8"/>
  <c r="AN8"/>
  <c r="AM8"/>
  <c r="BC8" i="12"/>
  <c r="BB8"/>
  <c r="AZ8"/>
  <c r="AY8"/>
  <c r="AQ8"/>
  <c r="AP8"/>
  <c r="AN8"/>
  <c r="AM8"/>
  <c r="BC8" i="4"/>
  <c r="BB8"/>
  <c r="AZ8"/>
  <c r="AY8"/>
  <c r="AQ8"/>
  <c r="AP8"/>
  <c r="AN8"/>
  <c r="AM8"/>
  <c r="H6" i="12"/>
  <c r="AO15" i="14"/>
  <c r="Q22" i="27"/>
  <c r="Q23"/>
  <c r="H23" i="14"/>
  <c r="H24"/>
  <c r="K24"/>
  <c r="K23"/>
  <c r="K36" i="12"/>
  <c r="H36"/>
  <c r="H36" i="4"/>
  <c r="C37" i="6"/>
  <c r="C36"/>
  <c r="L36"/>
  <c r="U36"/>
  <c r="AQ17" i="4"/>
  <c r="AP17"/>
  <c r="AN17"/>
  <c r="AM17"/>
  <c r="AE17"/>
  <c r="AD17"/>
  <c r="AB17"/>
  <c r="AA17"/>
  <c r="Y17"/>
  <c r="X17"/>
  <c r="S17"/>
  <c r="R17"/>
  <c r="P17"/>
  <c r="O17"/>
  <c r="M17"/>
  <c r="L17"/>
  <c r="J17"/>
  <c r="I17"/>
  <c r="G17"/>
  <c r="F17"/>
  <c r="AD17" i="6"/>
  <c r="U17"/>
  <c r="L17"/>
  <c r="AD26"/>
  <c r="U26"/>
  <c r="L26"/>
  <c r="C26"/>
  <c r="L34"/>
  <c r="L8"/>
  <c r="C8"/>
  <c r="E24" i="4"/>
  <c r="AD30" i="6"/>
  <c r="U30"/>
  <c r="AC30" s="1"/>
  <c r="V30" s="1"/>
  <c r="L30"/>
  <c r="T30" s="1"/>
  <c r="C30"/>
  <c r="AD18"/>
  <c r="L18"/>
  <c r="C18"/>
  <c r="AD29"/>
  <c r="AL29" s="1"/>
  <c r="U29"/>
  <c r="AC29" s="1"/>
  <c r="X29" s="1"/>
  <c r="K29"/>
  <c r="E11" i="27"/>
  <c r="E13"/>
  <c r="AM14" i="6"/>
  <c r="AJ14"/>
  <c r="AH14"/>
  <c r="AF14"/>
  <c r="AD14"/>
  <c r="AA14"/>
  <c r="Y14"/>
  <c r="W14"/>
  <c r="U14"/>
  <c r="R14"/>
  <c r="P14"/>
  <c r="N14"/>
  <c r="L14"/>
  <c r="I14"/>
  <c r="G14"/>
  <c r="C14"/>
  <c r="AU35"/>
  <c r="AN35" s="1"/>
  <c r="AD31"/>
  <c r="AL31" s="1"/>
  <c r="AC31"/>
  <c r="AB31" s="1"/>
  <c r="T29"/>
  <c r="M29" s="1"/>
  <c r="T31"/>
  <c r="AC21" i="14"/>
  <c r="Z21"/>
  <c r="K27"/>
  <c r="L21" i="6"/>
  <c r="C21"/>
  <c r="R27"/>
  <c r="L27"/>
  <c r="C27"/>
  <c r="I27"/>
  <c r="Z29" i="4"/>
  <c r="V17" i="12"/>
  <c r="U17"/>
  <c r="T17"/>
  <c r="AS35" i="14"/>
  <c r="AR35" i="4"/>
  <c r="L35" i="6"/>
  <c r="C35"/>
  <c r="Q7" i="27"/>
  <c r="Q8"/>
  <c r="BF9" i="14"/>
  <c r="AO9" i="4"/>
  <c r="U28" i="12"/>
  <c r="K28" i="4"/>
  <c r="U28" i="6"/>
  <c r="L28"/>
  <c r="T28" s="1"/>
  <c r="C28"/>
  <c r="AC23" i="14"/>
  <c r="E23"/>
  <c r="AD23" i="6"/>
  <c r="U23"/>
  <c r="L23"/>
  <c r="C23"/>
  <c r="C22"/>
  <c r="K22" s="1"/>
  <c r="D22" s="1"/>
  <c r="L22"/>
  <c r="BE30" i="4"/>
  <c r="BD29"/>
  <c r="AG37"/>
  <c r="AS40" i="6"/>
  <c r="AQ40"/>
  <c r="AM40"/>
  <c r="AJ40"/>
  <c r="AH40"/>
  <c r="AF40"/>
  <c r="AD40"/>
  <c r="AA40"/>
  <c r="Y40"/>
  <c r="U40"/>
  <c r="R40"/>
  <c r="P40"/>
  <c r="N40"/>
  <c r="L40"/>
  <c r="I40"/>
  <c r="G40"/>
  <c r="C40"/>
  <c r="AS37"/>
  <c r="AM37"/>
  <c r="AJ37"/>
  <c r="AH37"/>
  <c r="AD37"/>
  <c r="AA37"/>
  <c r="Y37"/>
  <c r="U37"/>
  <c r="R37"/>
  <c r="P37"/>
  <c r="L37"/>
  <c r="Q37"/>
  <c r="I37"/>
  <c r="G37"/>
  <c r="AM39"/>
  <c r="AD39"/>
  <c r="U39"/>
  <c r="L39"/>
  <c r="C39"/>
  <c r="AO38"/>
  <c r="AJ38"/>
  <c r="AH38"/>
  <c r="AF38"/>
  <c r="AA38"/>
  <c r="Y38"/>
  <c r="W38"/>
  <c r="U38"/>
  <c r="R38"/>
  <c r="P38"/>
  <c r="N38"/>
  <c r="L38"/>
  <c r="E38"/>
  <c r="I38"/>
  <c r="G38"/>
  <c r="AA39" i="50"/>
  <c r="I39"/>
  <c r="AS10" i="6"/>
  <c r="AQ10"/>
  <c r="AO10"/>
  <c r="AM10"/>
  <c r="AJ10"/>
  <c r="AH10"/>
  <c r="AD10"/>
  <c r="AA10"/>
  <c r="Y10"/>
  <c r="U10"/>
  <c r="R10"/>
  <c r="P10"/>
  <c r="L10"/>
  <c r="I10"/>
  <c r="G10"/>
  <c r="E10"/>
  <c r="C10"/>
  <c r="AJ11"/>
  <c r="AH11"/>
  <c r="AD11"/>
  <c r="AA11"/>
  <c r="Y11"/>
  <c r="U11"/>
  <c r="R11"/>
  <c r="P11"/>
  <c r="L11"/>
  <c r="I11"/>
  <c r="G11"/>
  <c r="C11"/>
  <c r="J19" i="26"/>
  <c r="I19"/>
  <c r="G19"/>
  <c r="F19"/>
  <c r="D19"/>
  <c r="C19"/>
  <c r="M19"/>
  <c r="L19"/>
  <c r="AJ20" i="6"/>
  <c r="AH20"/>
  <c r="AF20"/>
  <c r="AD20"/>
  <c r="AA20"/>
  <c r="Y20"/>
  <c r="W20"/>
  <c r="U20"/>
  <c r="R20"/>
  <c r="P20"/>
  <c r="N20"/>
  <c r="L20"/>
  <c r="G20"/>
  <c r="I20"/>
  <c r="E6" i="14"/>
  <c r="AM7" i="6"/>
  <c r="AS6" i="14"/>
  <c r="AR6"/>
  <c r="AD6" i="6"/>
  <c r="U6"/>
  <c r="R6"/>
  <c r="L6"/>
  <c r="AO7" i="12"/>
  <c r="U7" i="6"/>
  <c r="C7"/>
  <c r="E8" i="52"/>
  <c r="H8"/>
  <c r="K8"/>
  <c r="N8"/>
  <c r="Q8"/>
  <c r="T8"/>
  <c r="W8"/>
  <c r="Z8"/>
  <c r="AC8"/>
  <c r="AF8"/>
  <c r="AI8"/>
  <c r="AL8"/>
  <c r="AO8"/>
  <c r="AR8"/>
  <c r="AU8"/>
  <c r="AX8"/>
  <c r="BA8"/>
  <c r="BD8"/>
  <c r="BG8"/>
  <c r="BJ8"/>
  <c r="BK8"/>
  <c r="BL8"/>
  <c r="BN8"/>
  <c r="BO8"/>
  <c r="BQ8"/>
  <c r="BR8"/>
  <c r="BT8"/>
  <c r="BU8"/>
  <c r="E9"/>
  <c r="H9"/>
  <c r="K9"/>
  <c r="N9"/>
  <c r="Q9"/>
  <c r="T9"/>
  <c r="W9"/>
  <c r="Z9"/>
  <c r="AC9"/>
  <c r="AF9"/>
  <c r="AI9"/>
  <c r="AL9"/>
  <c r="AO9"/>
  <c r="AR9"/>
  <c r="AU9"/>
  <c r="AX9"/>
  <c r="BA9"/>
  <c r="BD9"/>
  <c r="BG9"/>
  <c r="BJ9"/>
  <c r="BK9"/>
  <c r="BL9"/>
  <c r="BN9"/>
  <c r="BO9"/>
  <c r="BQ9"/>
  <c r="BR9"/>
  <c r="BT9"/>
  <c r="BU9"/>
  <c r="E10"/>
  <c r="H10"/>
  <c r="K10"/>
  <c r="N10"/>
  <c r="Q10"/>
  <c r="T10"/>
  <c r="W10"/>
  <c r="Z10"/>
  <c r="AC10"/>
  <c r="AF10"/>
  <c r="AI10"/>
  <c r="AL10"/>
  <c r="AO10"/>
  <c r="AR10"/>
  <c r="AU10"/>
  <c r="AX10"/>
  <c r="BA10"/>
  <c r="BD10"/>
  <c r="BG10"/>
  <c r="BJ10"/>
  <c r="BK10"/>
  <c r="BL10"/>
  <c r="BN10"/>
  <c r="BO10"/>
  <c r="BQ10"/>
  <c r="BR10"/>
  <c r="BT10"/>
  <c r="BU10"/>
  <c r="E11"/>
  <c r="H11"/>
  <c r="K11"/>
  <c r="N11"/>
  <c r="Q11"/>
  <c r="T11"/>
  <c r="W11"/>
  <c r="Z11"/>
  <c r="AC11"/>
  <c r="AF11"/>
  <c r="AI11"/>
  <c r="AL11"/>
  <c r="AO11"/>
  <c r="AR11"/>
  <c r="AU11"/>
  <c r="AX11"/>
  <c r="BA11"/>
  <c r="BD11"/>
  <c r="BG11"/>
  <c r="BJ11"/>
  <c r="BK11"/>
  <c r="BL11"/>
  <c r="BN11"/>
  <c r="BO11"/>
  <c r="BQ11"/>
  <c r="BR11"/>
  <c r="BT11"/>
  <c r="BU11"/>
  <c r="E12"/>
  <c r="H12"/>
  <c r="K12"/>
  <c r="N12"/>
  <c r="Q12"/>
  <c r="T12"/>
  <c r="W12"/>
  <c r="Z12"/>
  <c r="AC12"/>
  <c r="AF12"/>
  <c r="AI12"/>
  <c r="AL12"/>
  <c r="AO12"/>
  <c r="AR12"/>
  <c r="AU12"/>
  <c r="AX12"/>
  <c r="BA12"/>
  <c r="BD12"/>
  <c r="BG12"/>
  <c r="BJ12"/>
  <c r="BK12"/>
  <c r="BL12"/>
  <c r="BN12"/>
  <c r="BO12"/>
  <c r="BQ12"/>
  <c r="BR12"/>
  <c r="BT12"/>
  <c r="BU12"/>
  <c r="E13"/>
  <c r="H13"/>
  <c r="K13"/>
  <c r="N13"/>
  <c r="Q13"/>
  <c r="T13"/>
  <c r="W13"/>
  <c r="Z13"/>
  <c r="AC13"/>
  <c r="AF13"/>
  <c r="AI13"/>
  <c r="AL13"/>
  <c r="AO13"/>
  <c r="AR13"/>
  <c r="AU13"/>
  <c r="AX13"/>
  <c r="BA13"/>
  <c r="BD13"/>
  <c r="BG13"/>
  <c r="BJ13"/>
  <c r="BK13"/>
  <c r="BL13"/>
  <c r="BN13"/>
  <c r="BO13"/>
  <c r="BQ13"/>
  <c r="BR13"/>
  <c r="BT13"/>
  <c r="BU13"/>
  <c r="E14"/>
  <c r="H14"/>
  <c r="K14"/>
  <c r="N14"/>
  <c r="Q14"/>
  <c r="T14"/>
  <c r="W14"/>
  <c r="Z14"/>
  <c r="AC14"/>
  <c r="AF14"/>
  <c r="AI14"/>
  <c r="AL14"/>
  <c r="AO14"/>
  <c r="AR14"/>
  <c r="AU14"/>
  <c r="AX14"/>
  <c r="BA14"/>
  <c r="BD14"/>
  <c r="BG14"/>
  <c r="BJ14"/>
  <c r="BK14"/>
  <c r="BL14"/>
  <c r="BN14"/>
  <c r="BO14"/>
  <c r="BQ14"/>
  <c r="BR14"/>
  <c r="BT14"/>
  <c r="BU14"/>
  <c r="E15"/>
  <c r="H15"/>
  <c r="K15"/>
  <c r="N15"/>
  <c r="Q15"/>
  <c r="T15"/>
  <c r="W15"/>
  <c r="Z15"/>
  <c r="AC15"/>
  <c r="AF15"/>
  <c r="AI15"/>
  <c r="AL15"/>
  <c r="AO15"/>
  <c r="AR15"/>
  <c r="AU15"/>
  <c r="AX15"/>
  <c r="BA15"/>
  <c r="BD15"/>
  <c r="BG15"/>
  <c r="BJ15"/>
  <c r="BK15"/>
  <c r="BL15"/>
  <c r="BN15"/>
  <c r="BO15"/>
  <c r="BQ15"/>
  <c r="BR15"/>
  <c r="BT15"/>
  <c r="BU15"/>
  <c r="E16"/>
  <c r="H16"/>
  <c r="K16"/>
  <c r="N16"/>
  <c r="Q16"/>
  <c r="T16"/>
  <c r="W16"/>
  <c r="Z16"/>
  <c r="AC16"/>
  <c r="AF16"/>
  <c r="AI16"/>
  <c r="AL16"/>
  <c r="AO16"/>
  <c r="AR16"/>
  <c r="AU16"/>
  <c r="AX16"/>
  <c r="BA16"/>
  <c r="BD16"/>
  <c r="BG16"/>
  <c r="BJ16"/>
  <c r="BK16"/>
  <c r="BL16"/>
  <c r="BN16"/>
  <c r="BO16"/>
  <c r="BQ16"/>
  <c r="BR16"/>
  <c r="BT16"/>
  <c r="BU16"/>
  <c r="E17"/>
  <c r="H17"/>
  <c r="K17"/>
  <c r="N17"/>
  <c r="Q17"/>
  <c r="T17"/>
  <c r="W17"/>
  <c r="Z17"/>
  <c r="AC17"/>
  <c r="AF17"/>
  <c r="AI17"/>
  <c r="AL17"/>
  <c r="AO17"/>
  <c r="AR17"/>
  <c r="AU17"/>
  <c r="AX17"/>
  <c r="BA17"/>
  <c r="BD17"/>
  <c r="BG17"/>
  <c r="BJ17"/>
  <c r="BK17"/>
  <c r="BL17"/>
  <c r="BN17"/>
  <c r="BO17"/>
  <c r="BQ17"/>
  <c r="BR17"/>
  <c r="BT17"/>
  <c r="BU17"/>
  <c r="E18"/>
  <c r="H18"/>
  <c r="K18"/>
  <c r="N18"/>
  <c r="Q18"/>
  <c r="T18"/>
  <c r="W18"/>
  <c r="Z18"/>
  <c r="AC18"/>
  <c r="AF18"/>
  <c r="AI18"/>
  <c r="AL18"/>
  <c r="AO18"/>
  <c r="AR18"/>
  <c r="AU18"/>
  <c r="AX18"/>
  <c r="BA18"/>
  <c r="BD18"/>
  <c r="BG18"/>
  <c r="BJ18"/>
  <c r="BK18"/>
  <c r="BL18"/>
  <c r="BN18"/>
  <c r="BO18"/>
  <c r="BQ18"/>
  <c r="BR18"/>
  <c r="BT18"/>
  <c r="BU18"/>
  <c r="E19"/>
  <c r="H19"/>
  <c r="K19"/>
  <c r="N19"/>
  <c r="Q19"/>
  <c r="T19"/>
  <c r="W19"/>
  <c r="Z19"/>
  <c r="AC19"/>
  <c r="AF19"/>
  <c r="AI19"/>
  <c r="AL19"/>
  <c r="AO19"/>
  <c r="AR19"/>
  <c r="AU19"/>
  <c r="AX19"/>
  <c r="BA19"/>
  <c r="BD19"/>
  <c r="BG19"/>
  <c r="BJ19"/>
  <c r="BK19"/>
  <c r="BL19"/>
  <c r="BN19"/>
  <c r="BO19"/>
  <c r="BQ19"/>
  <c r="BR19"/>
  <c r="BT19"/>
  <c r="BU19"/>
  <c r="E20"/>
  <c r="H20"/>
  <c r="K20"/>
  <c r="N20"/>
  <c r="Q20"/>
  <c r="T20"/>
  <c r="W20"/>
  <c r="Z20"/>
  <c r="AC20"/>
  <c r="AF20"/>
  <c r="AI20"/>
  <c r="AL20"/>
  <c r="AO20"/>
  <c r="AR20"/>
  <c r="AU20"/>
  <c r="AX20"/>
  <c r="BA20"/>
  <c r="BD20"/>
  <c r="BG20"/>
  <c r="BJ20"/>
  <c r="BK20"/>
  <c r="BL20"/>
  <c r="BN20"/>
  <c r="BO20"/>
  <c r="BQ20"/>
  <c r="BR20"/>
  <c r="BT20"/>
  <c r="BU20"/>
  <c r="E21"/>
  <c r="H21"/>
  <c r="K21"/>
  <c r="N21"/>
  <c r="Q21"/>
  <c r="T21"/>
  <c r="W21"/>
  <c r="Z21"/>
  <c r="AC21"/>
  <c r="AF21"/>
  <c r="AI21"/>
  <c r="AL21"/>
  <c r="AO21"/>
  <c r="AR21"/>
  <c r="AU21"/>
  <c r="AX21"/>
  <c r="BA21"/>
  <c r="BD21"/>
  <c r="BG21"/>
  <c r="BJ21"/>
  <c r="BK21"/>
  <c r="BL21"/>
  <c r="BN21"/>
  <c r="BO21"/>
  <c r="BQ21"/>
  <c r="BR21"/>
  <c r="BT21"/>
  <c r="BU21"/>
  <c r="E22"/>
  <c r="H22"/>
  <c r="K22"/>
  <c r="N22"/>
  <c r="Q22"/>
  <c r="T22"/>
  <c r="W22"/>
  <c r="Z22"/>
  <c r="AC22"/>
  <c r="AF22"/>
  <c r="AI22"/>
  <c r="AL22"/>
  <c r="AO22"/>
  <c r="AR22"/>
  <c r="AU22"/>
  <c r="AX22"/>
  <c r="BA22"/>
  <c r="BD22"/>
  <c r="BG22"/>
  <c r="BJ22"/>
  <c r="BK22"/>
  <c r="BL22"/>
  <c r="BN22"/>
  <c r="BO22"/>
  <c r="BV22"/>
  <c r="BK23"/>
  <c r="BL23"/>
  <c r="BN23"/>
  <c r="BO23"/>
  <c r="E24"/>
  <c r="H24"/>
  <c r="K24"/>
  <c r="N24"/>
  <c r="Q24"/>
  <c r="T24"/>
  <c r="W24"/>
  <c r="Z24"/>
  <c r="AC24"/>
  <c r="AF24"/>
  <c r="AI24"/>
  <c r="AL24"/>
  <c r="AO24"/>
  <c r="AR24"/>
  <c r="AU24"/>
  <c r="AX24"/>
  <c r="BA24"/>
  <c r="BD24"/>
  <c r="BG24"/>
  <c r="BJ24"/>
  <c r="BK24"/>
  <c r="BL24"/>
  <c r="BN24"/>
  <c r="BO24"/>
  <c r="BQ24"/>
  <c r="BR24"/>
  <c r="BT24"/>
  <c r="BU24"/>
  <c r="E25"/>
  <c r="H25"/>
  <c r="K25"/>
  <c r="N25"/>
  <c r="Q25"/>
  <c r="T25"/>
  <c r="W25"/>
  <c r="Z25"/>
  <c r="AC25"/>
  <c r="AF25"/>
  <c r="AI25"/>
  <c r="AL25"/>
  <c r="AO25"/>
  <c r="AR25"/>
  <c r="AU25"/>
  <c r="AX25"/>
  <c r="BA25"/>
  <c r="BD25"/>
  <c r="BG25"/>
  <c r="BJ25"/>
  <c r="BK25"/>
  <c r="BL25"/>
  <c r="BN25"/>
  <c r="BO25"/>
  <c r="BQ25"/>
  <c r="BR25"/>
  <c r="BT25"/>
  <c r="BU25"/>
  <c r="E26"/>
  <c r="H26"/>
  <c r="K26"/>
  <c r="N26"/>
  <c r="Q26"/>
  <c r="T26"/>
  <c r="W26"/>
  <c r="Z26"/>
  <c r="AC26"/>
  <c r="AF26"/>
  <c r="AI26"/>
  <c r="AL26"/>
  <c r="AO26"/>
  <c r="AR26"/>
  <c r="AU26"/>
  <c r="AX26"/>
  <c r="BA26"/>
  <c r="BD26"/>
  <c r="BG26"/>
  <c r="BJ26"/>
  <c r="BK26"/>
  <c r="BL26"/>
  <c r="BN26"/>
  <c r="BO26"/>
  <c r="E27"/>
  <c r="H27"/>
  <c r="K27"/>
  <c r="N27"/>
  <c r="Q27"/>
  <c r="T27"/>
  <c r="W27"/>
  <c r="Z27"/>
  <c r="AC27"/>
  <c r="AF27"/>
  <c r="AI27"/>
  <c r="AL27"/>
  <c r="AO27"/>
  <c r="AR27"/>
  <c r="AU27"/>
  <c r="AX27"/>
  <c r="BA27"/>
  <c r="BD27"/>
  <c r="BG27"/>
  <c r="BJ27"/>
  <c r="BK27"/>
  <c r="BL27"/>
  <c r="BN27"/>
  <c r="BO27"/>
  <c r="E28"/>
  <c r="H28"/>
  <c r="K28"/>
  <c r="N28"/>
  <c r="Q28"/>
  <c r="T28"/>
  <c r="W28"/>
  <c r="Z28"/>
  <c r="AC28"/>
  <c r="AF28"/>
  <c r="AI28"/>
  <c r="AL28"/>
  <c r="AO28"/>
  <c r="AR28"/>
  <c r="AU28"/>
  <c r="AX28"/>
  <c r="BA28"/>
  <c r="BD28"/>
  <c r="BG28"/>
  <c r="BJ28"/>
  <c r="BK28"/>
  <c r="BL28"/>
  <c r="BN28"/>
  <c r="BO28"/>
  <c r="BQ28"/>
  <c r="BR28"/>
  <c r="BT28"/>
  <c r="BU28"/>
  <c r="E29"/>
  <c r="H29"/>
  <c r="K29"/>
  <c r="N29"/>
  <c r="Q29"/>
  <c r="T29"/>
  <c r="W29"/>
  <c r="Z29"/>
  <c r="AC29"/>
  <c r="AF29"/>
  <c r="AI29"/>
  <c r="AL29"/>
  <c r="AO29"/>
  <c r="AR29"/>
  <c r="AU29"/>
  <c r="AX29"/>
  <c r="BA29"/>
  <c r="BD29"/>
  <c r="BG29"/>
  <c r="BJ29"/>
  <c r="BK29"/>
  <c r="BL29"/>
  <c r="BO29"/>
  <c r="BQ29"/>
  <c r="BR29"/>
  <c r="BT29"/>
  <c r="BU29"/>
  <c r="E30"/>
  <c r="H30"/>
  <c r="K30"/>
  <c r="N30"/>
  <c r="Q30"/>
  <c r="T30"/>
  <c r="W30"/>
  <c r="Z30"/>
  <c r="AC30"/>
  <c r="AF30"/>
  <c r="AI30"/>
  <c r="AL30"/>
  <c r="AO30"/>
  <c r="AR30"/>
  <c r="AU30"/>
  <c r="AX30"/>
  <c r="BA30"/>
  <c r="BD30"/>
  <c r="BG30"/>
  <c r="BJ30"/>
  <c r="BK30"/>
  <c r="BL30"/>
  <c r="BN30"/>
  <c r="BO30"/>
  <c r="BQ30"/>
  <c r="BR30"/>
  <c r="BT30"/>
  <c r="BU30"/>
  <c r="E31"/>
  <c r="H31"/>
  <c r="K31"/>
  <c r="N31"/>
  <c r="Q31"/>
  <c r="T31"/>
  <c r="W31"/>
  <c r="Z31"/>
  <c r="AC31"/>
  <c r="AF31"/>
  <c r="AI31"/>
  <c r="AL31"/>
  <c r="AO31"/>
  <c r="AR31"/>
  <c r="AU31"/>
  <c r="AX31"/>
  <c r="BA31"/>
  <c r="BD31"/>
  <c r="BG31"/>
  <c r="BJ31"/>
  <c r="BK31"/>
  <c r="BL31"/>
  <c r="BN31"/>
  <c r="BO31"/>
  <c r="BQ31"/>
  <c r="BR31"/>
  <c r="BT31"/>
  <c r="BU31"/>
  <c r="E32"/>
  <c r="H32"/>
  <c r="K32"/>
  <c r="N32"/>
  <c r="Q32"/>
  <c r="T32"/>
  <c r="W32"/>
  <c r="Z32"/>
  <c r="AC32"/>
  <c r="AF32"/>
  <c r="AI32"/>
  <c r="AL32"/>
  <c r="AO32"/>
  <c r="AR32"/>
  <c r="AU32"/>
  <c r="AX32"/>
  <c r="BA32"/>
  <c r="BD32"/>
  <c r="BG32"/>
  <c r="BJ32"/>
  <c r="BK32"/>
  <c r="BL32"/>
  <c r="BN32"/>
  <c r="BO32"/>
  <c r="BQ32"/>
  <c r="BR32"/>
  <c r="BT32"/>
  <c r="BU32"/>
  <c r="E33"/>
  <c r="H33"/>
  <c r="K33"/>
  <c r="N33"/>
  <c r="Q33"/>
  <c r="T33"/>
  <c r="W33"/>
  <c r="Z33"/>
  <c r="AC33"/>
  <c r="AF33"/>
  <c r="AI33"/>
  <c r="AL33"/>
  <c r="AO33"/>
  <c r="AR33"/>
  <c r="AU33"/>
  <c r="AX33"/>
  <c r="BA33"/>
  <c r="BD33"/>
  <c r="BG33"/>
  <c r="BJ33"/>
  <c r="BK33"/>
  <c r="BL33"/>
  <c r="BN33"/>
  <c r="BO33"/>
  <c r="E34"/>
  <c r="H34"/>
  <c r="K34"/>
  <c r="N34"/>
  <c r="Q34"/>
  <c r="T34"/>
  <c r="W34"/>
  <c r="Z34"/>
  <c r="AC34"/>
  <c r="AF34"/>
  <c r="AI34"/>
  <c r="AL34"/>
  <c r="AO34"/>
  <c r="AR34"/>
  <c r="AU34"/>
  <c r="AX34"/>
  <c r="BA34"/>
  <c r="BD34"/>
  <c r="BG34"/>
  <c r="BJ34"/>
  <c r="BK34"/>
  <c r="BL34"/>
  <c r="BN34"/>
  <c r="BO34"/>
  <c r="BQ34"/>
  <c r="BR34"/>
  <c r="BT34"/>
  <c r="BU34"/>
  <c r="E35"/>
  <c r="H35"/>
  <c r="K35"/>
  <c r="N35"/>
  <c r="Q35"/>
  <c r="T35"/>
  <c r="W35"/>
  <c r="Z35"/>
  <c r="AC35"/>
  <c r="AF35"/>
  <c r="AI35"/>
  <c r="AL35"/>
  <c r="AO35"/>
  <c r="AR35"/>
  <c r="AU35"/>
  <c r="AX35"/>
  <c r="BA35"/>
  <c r="AZ43"/>
  <c r="BD35"/>
  <c r="BG35"/>
  <c r="BH43"/>
  <c r="BK35"/>
  <c r="BL35"/>
  <c r="BN35"/>
  <c r="BO35"/>
  <c r="BQ35"/>
  <c r="BR35"/>
  <c r="BT35"/>
  <c r="BU35"/>
  <c r="E36"/>
  <c r="H36"/>
  <c r="K36"/>
  <c r="N36"/>
  <c r="Q36"/>
  <c r="T36"/>
  <c r="W36"/>
  <c r="Z36"/>
  <c r="AC36"/>
  <c r="AF36"/>
  <c r="AI36"/>
  <c r="AL36"/>
  <c r="AO36"/>
  <c r="AR36"/>
  <c r="AU36"/>
  <c r="AX36"/>
  <c r="BA36"/>
  <c r="BD36"/>
  <c r="BG36"/>
  <c r="BJ36"/>
  <c r="BK36"/>
  <c r="BL36"/>
  <c r="BN36"/>
  <c r="BO36"/>
  <c r="BQ36"/>
  <c r="BR36"/>
  <c r="BT36"/>
  <c r="BU36"/>
  <c r="E37"/>
  <c r="H37"/>
  <c r="K37"/>
  <c r="N37"/>
  <c r="Q37"/>
  <c r="T37"/>
  <c r="W37"/>
  <c r="Z37"/>
  <c r="AC37"/>
  <c r="AF37"/>
  <c r="AI37"/>
  <c r="AL37"/>
  <c r="AO37"/>
  <c r="AR37"/>
  <c r="AU37"/>
  <c r="AX37"/>
  <c r="BA37"/>
  <c r="BD37"/>
  <c r="BG37"/>
  <c r="BJ37"/>
  <c r="BK37"/>
  <c r="BL37"/>
  <c r="BN37"/>
  <c r="BO37"/>
  <c r="BQ37"/>
  <c r="BR37"/>
  <c r="BT37"/>
  <c r="BU37"/>
  <c r="BW38"/>
  <c r="BX38"/>
  <c r="E39"/>
  <c r="H39"/>
  <c r="K39"/>
  <c r="N39"/>
  <c r="Q39"/>
  <c r="T39"/>
  <c r="W39"/>
  <c r="Z39"/>
  <c r="AC39"/>
  <c r="AF39"/>
  <c r="AI39"/>
  <c r="AL39"/>
  <c r="AO39"/>
  <c r="AR39"/>
  <c r="AU39"/>
  <c r="AX39"/>
  <c r="BA39"/>
  <c r="BD39"/>
  <c r="BG39"/>
  <c r="BJ39"/>
  <c r="BK39"/>
  <c r="BL39"/>
  <c r="BN39"/>
  <c r="BO39"/>
  <c r="BQ39"/>
  <c r="BR39"/>
  <c r="BT39"/>
  <c r="BU39"/>
  <c r="E40"/>
  <c r="H40"/>
  <c r="K40"/>
  <c r="N40"/>
  <c r="Q40"/>
  <c r="T40"/>
  <c r="W40"/>
  <c r="Z40"/>
  <c r="AC40"/>
  <c r="AF40"/>
  <c r="AI40"/>
  <c r="AL40"/>
  <c r="AO40"/>
  <c r="AR40"/>
  <c r="AU40"/>
  <c r="AX40"/>
  <c r="BA40"/>
  <c r="BD40"/>
  <c r="BG40"/>
  <c r="BJ40"/>
  <c r="BK40"/>
  <c r="BL40"/>
  <c r="BN40"/>
  <c r="BO40"/>
  <c r="BQ40"/>
  <c r="BR40"/>
  <c r="BT40"/>
  <c r="BU40"/>
  <c r="H41"/>
  <c r="K41"/>
  <c r="N41"/>
  <c r="Q41"/>
  <c r="T41"/>
  <c r="W41"/>
  <c r="Z41"/>
  <c r="AC41"/>
  <c r="AF41"/>
  <c r="AI41"/>
  <c r="AL41"/>
  <c r="AO41"/>
  <c r="AR41"/>
  <c r="AU41"/>
  <c r="BA41"/>
  <c r="BD41"/>
  <c r="BG41"/>
  <c r="BK41"/>
  <c r="BL41"/>
  <c r="BN41"/>
  <c r="BO41"/>
  <c r="BQ41"/>
  <c r="BR41"/>
  <c r="BT41"/>
  <c r="BU41"/>
  <c r="E42"/>
  <c r="H42"/>
  <c r="K42"/>
  <c r="N42"/>
  <c r="Q42"/>
  <c r="T42"/>
  <c r="W42"/>
  <c r="Z42"/>
  <c r="AC42"/>
  <c r="AF42"/>
  <c r="AI42"/>
  <c r="AL42"/>
  <c r="AO42"/>
  <c r="AR42"/>
  <c r="AU42"/>
  <c r="AX42"/>
  <c r="BA42"/>
  <c r="BD42"/>
  <c r="BG42"/>
  <c r="BJ42"/>
  <c r="BK42"/>
  <c r="BL42"/>
  <c r="BN42"/>
  <c r="BO42"/>
  <c r="BQ42"/>
  <c r="BR42"/>
  <c r="BT42"/>
  <c r="BU42"/>
  <c r="C43"/>
  <c r="F43"/>
  <c r="I43"/>
  <c r="J43"/>
  <c r="L43"/>
  <c r="M43"/>
  <c r="O43"/>
  <c r="P43"/>
  <c r="R43"/>
  <c r="S43"/>
  <c r="U43"/>
  <c r="V43"/>
  <c r="X43"/>
  <c r="Y43"/>
  <c r="AA43"/>
  <c r="AB43"/>
  <c r="AD43"/>
  <c r="AG43"/>
  <c r="AH43"/>
  <c r="AJ43"/>
  <c r="AK43"/>
  <c r="AM43"/>
  <c r="AN43"/>
  <c r="AP43"/>
  <c r="AQ43"/>
  <c r="AS43"/>
  <c r="AT43"/>
  <c r="AV43"/>
  <c r="AW43"/>
  <c r="BB43"/>
  <c r="BE43"/>
  <c r="BF43"/>
  <c r="BI43"/>
  <c r="D6" i="51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I44"/>
  <c r="L44"/>
  <c r="O44"/>
  <c r="R44"/>
  <c r="U44"/>
  <c r="X44"/>
  <c r="F6" i="50"/>
  <c r="I6"/>
  <c r="L6"/>
  <c r="O6"/>
  <c r="R6"/>
  <c r="U6"/>
  <c r="V6"/>
  <c r="W6"/>
  <c r="AA6"/>
  <c r="AG6"/>
  <c r="AH6"/>
  <c r="AW6" i="51" s="1"/>
  <c r="AI6" i="50"/>
  <c r="AX6" i="51" s="1"/>
  <c r="AP6" i="50"/>
  <c r="AS6"/>
  <c r="AT6"/>
  <c r="BC6" i="51" s="1"/>
  <c r="AU6" i="50"/>
  <c r="BD6" i="51" s="1"/>
  <c r="BB6" i="50"/>
  <c r="BE6"/>
  <c r="BF6"/>
  <c r="BI6" i="51" s="1"/>
  <c r="BG6" i="50"/>
  <c r="F7"/>
  <c r="I7"/>
  <c r="L7"/>
  <c r="O7"/>
  <c r="R7"/>
  <c r="U7"/>
  <c r="V7"/>
  <c r="W7"/>
  <c r="AA7"/>
  <c r="AD7"/>
  <c r="AG7"/>
  <c r="AH7"/>
  <c r="AW7" i="51" s="1"/>
  <c r="AI7" i="50"/>
  <c r="AX7" i="51" s="1"/>
  <c r="AP7" i="50"/>
  <c r="AS7"/>
  <c r="AT7"/>
  <c r="BC7" i="51" s="1"/>
  <c r="AU7" i="50"/>
  <c r="BD7" i="51" s="1"/>
  <c r="BB7" i="50"/>
  <c r="BE7"/>
  <c r="BF7"/>
  <c r="BI7" i="51" s="1"/>
  <c r="BG7" i="50"/>
  <c r="BJ7" i="51" s="1"/>
  <c r="F8" i="50"/>
  <c r="I8"/>
  <c r="L8"/>
  <c r="O8"/>
  <c r="R8"/>
  <c r="U8"/>
  <c r="V8"/>
  <c r="W8"/>
  <c r="AA8"/>
  <c r="AD8"/>
  <c r="AG8"/>
  <c r="AH8"/>
  <c r="AI8"/>
  <c r="AX8" i="51" s="1"/>
  <c r="AP8" i="50"/>
  <c r="AS8"/>
  <c r="AT8"/>
  <c r="BC8" i="51" s="1"/>
  <c r="AU8" i="50"/>
  <c r="BD8" i="51" s="1"/>
  <c r="BB8" i="50"/>
  <c r="BE8"/>
  <c r="BF8"/>
  <c r="BI8" i="51" s="1"/>
  <c r="BG8" i="50"/>
  <c r="BJ8" i="51" s="1"/>
  <c r="F9" i="50"/>
  <c r="I9"/>
  <c r="L9"/>
  <c r="O9"/>
  <c r="R9"/>
  <c r="U9"/>
  <c r="V9"/>
  <c r="AT9" i="51" s="1"/>
  <c r="W9" i="50"/>
  <c r="AA9"/>
  <c r="AD9"/>
  <c r="AG9"/>
  <c r="AH9"/>
  <c r="AW9" i="51" s="1"/>
  <c r="AI9" i="50"/>
  <c r="AX9" i="51" s="1"/>
  <c r="AP9" i="50"/>
  <c r="AS9"/>
  <c r="AT9"/>
  <c r="BC9" i="51" s="1"/>
  <c r="AU9" i="50"/>
  <c r="BD9" i="51" s="1"/>
  <c r="BB9" i="50"/>
  <c r="BE9"/>
  <c r="BF9"/>
  <c r="BI9" i="51" s="1"/>
  <c r="BG9" i="50"/>
  <c r="BJ9" i="51" s="1"/>
  <c r="F10" i="50"/>
  <c r="I10"/>
  <c r="L10"/>
  <c r="O10"/>
  <c r="R10"/>
  <c r="U10"/>
  <c r="V10"/>
  <c r="W10"/>
  <c r="AA10"/>
  <c r="AD10"/>
  <c r="AG10"/>
  <c r="AH10"/>
  <c r="AW10" i="51" s="1"/>
  <c r="AI10" i="50"/>
  <c r="AX10" i="51" s="1"/>
  <c r="AP10" i="50"/>
  <c r="AS10"/>
  <c r="AT10"/>
  <c r="BC10" i="51" s="1"/>
  <c r="AU10" i="50"/>
  <c r="BD10" i="51" s="1"/>
  <c r="BB10" i="50"/>
  <c r="BE10"/>
  <c r="BF10"/>
  <c r="BI10" i="51" s="1"/>
  <c r="BG10" i="50"/>
  <c r="BJ10" i="51" s="1"/>
  <c r="F11" i="50"/>
  <c r="I11"/>
  <c r="L11"/>
  <c r="O11"/>
  <c r="R11"/>
  <c r="U11"/>
  <c r="V11"/>
  <c r="W11"/>
  <c r="AU11" i="51" s="1"/>
  <c r="AA11" i="50"/>
  <c r="AD11"/>
  <c r="AG11"/>
  <c r="AH11"/>
  <c r="AW11" i="51" s="1"/>
  <c r="AI11" i="50"/>
  <c r="AX11" i="51" s="1"/>
  <c r="AP11" i="50"/>
  <c r="AS11"/>
  <c r="AT11"/>
  <c r="AU11"/>
  <c r="BD11" i="51" s="1"/>
  <c r="BB11" i="50"/>
  <c r="BE11"/>
  <c r="BF11"/>
  <c r="BI11" i="51" s="1"/>
  <c r="BG11" i="50"/>
  <c r="BJ11" i="51" s="1"/>
  <c r="F12" i="50"/>
  <c r="I12"/>
  <c r="L12"/>
  <c r="O12"/>
  <c r="R12"/>
  <c r="U12"/>
  <c r="V12"/>
  <c r="W12"/>
  <c r="AA12"/>
  <c r="AD12"/>
  <c r="AG12"/>
  <c r="AH12"/>
  <c r="AI12"/>
  <c r="AX12" i="51" s="1"/>
  <c r="AP12" i="50"/>
  <c r="AS12"/>
  <c r="AT12"/>
  <c r="AU12"/>
  <c r="BD12" i="51" s="1"/>
  <c r="BB12" i="50"/>
  <c r="BE12"/>
  <c r="BF12"/>
  <c r="BG12"/>
  <c r="BJ12" i="51" s="1"/>
  <c r="F13" i="50"/>
  <c r="I13"/>
  <c r="L13"/>
  <c r="O13"/>
  <c r="R13"/>
  <c r="U13"/>
  <c r="V13"/>
  <c r="AT13" i="51" s="1"/>
  <c r="W13" i="50"/>
  <c r="AA13"/>
  <c r="AD13"/>
  <c r="AG13"/>
  <c r="AH13"/>
  <c r="AW13" i="51" s="1"/>
  <c r="AI13" i="50"/>
  <c r="AX13" i="51" s="1"/>
  <c r="AP13" i="50"/>
  <c r="AS13"/>
  <c r="AT13"/>
  <c r="AU13"/>
  <c r="BD13" i="51" s="1"/>
  <c r="BB13" i="50"/>
  <c r="BE13"/>
  <c r="BF13"/>
  <c r="BI13" i="51" s="1"/>
  <c r="BG13" i="50"/>
  <c r="BJ13" i="51" s="1"/>
  <c r="F14" i="50"/>
  <c r="I14"/>
  <c r="L14"/>
  <c r="O14"/>
  <c r="R14"/>
  <c r="U14"/>
  <c r="V14"/>
  <c r="W14"/>
  <c r="AU14" i="51" s="1"/>
  <c r="AA14" i="50"/>
  <c r="AD14"/>
  <c r="AG14"/>
  <c r="AH14"/>
  <c r="AW14" i="51" s="1"/>
  <c r="AI14" i="50"/>
  <c r="AX14" i="51" s="1"/>
  <c r="AP14" i="50"/>
  <c r="AS14"/>
  <c r="AT14"/>
  <c r="BC14" i="51" s="1"/>
  <c r="AU14" i="50"/>
  <c r="BD14" i="51" s="1"/>
  <c r="BB14" i="50"/>
  <c r="BE14"/>
  <c r="BF14"/>
  <c r="BI14" i="51" s="1"/>
  <c r="BG14" i="50"/>
  <c r="F15"/>
  <c r="L15"/>
  <c r="V15"/>
  <c r="R15"/>
  <c r="U15"/>
  <c r="AD15"/>
  <c r="AG15"/>
  <c r="AS15"/>
  <c r="BG15"/>
  <c r="BJ15" i="51" s="1"/>
  <c r="BE15" i="50"/>
  <c r="F16"/>
  <c r="I16"/>
  <c r="L16"/>
  <c r="O16"/>
  <c r="R16"/>
  <c r="U16"/>
  <c r="V16"/>
  <c r="W16"/>
  <c r="AA16"/>
  <c r="AD16"/>
  <c r="AG16"/>
  <c r="AH16"/>
  <c r="AW16" i="51" s="1"/>
  <c r="AI16" i="50"/>
  <c r="AX16" i="51" s="1"/>
  <c r="AP16" i="50"/>
  <c r="AS16"/>
  <c r="AT16"/>
  <c r="BC16" i="51" s="1"/>
  <c r="AU16" i="50"/>
  <c r="BB16"/>
  <c r="BE16"/>
  <c r="BF16"/>
  <c r="BI16" i="51" s="1"/>
  <c r="BG16" i="50"/>
  <c r="BJ16" i="51" s="1"/>
  <c r="F17" i="50"/>
  <c r="I17"/>
  <c r="L17"/>
  <c r="O17"/>
  <c r="R17"/>
  <c r="U17"/>
  <c r="V17"/>
  <c r="W17"/>
  <c r="AU17" i="51" s="1"/>
  <c r="AA17" i="50"/>
  <c r="AD17"/>
  <c r="AG17"/>
  <c r="AH17"/>
  <c r="AW17" i="51" s="1"/>
  <c r="AI17" i="50"/>
  <c r="AX17" i="51" s="1"/>
  <c r="AP17" i="50"/>
  <c r="AS17"/>
  <c r="AT17"/>
  <c r="BC17" i="51" s="1"/>
  <c r="AU17" i="50"/>
  <c r="BD17" i="51" s="1"/>
  <c r="BB17" i="50"/>
  <c r="BE17"/>
  <c r="BF17"/>
  <c r="BI17" i="51" s="1"/>
  <c r="BG17" i="50"/>
  <c r="BJ17" i="51" s="1"/>
  <c r="F18" i="50"/>
  <c r="I18"/>
  <c r="L18"/>
  <c r="O18"/>
  <c r="R18"/>
  <c r="U18"/>
  <c r="V18"/>
  <c r="W18"/>
  <c r="AU18" i="51" s="1"/>
  <c r="AA18" i="50"/>
  <c r="AD18"/>
  <c r="AG18"/>
  <c r="AH18"/>
  <c r="AW18" i="51" s="1"/>
  <c r="AI18" i="50"/>
  <c r="AX18" i="51" s="1"/>
  <c r="AP18" i="50"/>
  <c r="AS18"/>
  <c r="AT18"/>
  <c r="BC18" i="51" s="1"/>
  <c r="AU18" i="50"/>
  <c r="BD18" i="51" s="1"/>
  <c r="BB18" i="50"/>
  <c r="BE18"/>
  <c r="BF18"/>
  <c r="BI18" i="51" s="1"/>
  <c r="BG18" i="50"/>
  <c r="BJ18" i="51" s="1"/>
  <c r="F19" i="50"/>
  <c r="I19"/>
  <c r="L19"/>
  <c r="O19"/>
  <c r="R19"/>
  <c r="U19"/>
  <c r="V19"/>
  <c r="W19"/>
  <c r="AA19"/>
  <c r="AD19"/>
  <c r="AG19"/>
  <c r="AH19"/>
  <c r="AW19" i="51" s="1"/>
  <c r="AI19" i="50"/>
  <c r="AX19" i="51" s="1"/>
  <c r="AP19" i="50"/>
  <c r="AS19"/>
  <c r="AT19"/>
  <c r="AU19"/>
  <c r="BD19" i="51" s="1"/>
  <c r="BB19" i="50"/>
  <c r="BE19"/>
  <c r="BF19"/>
  <c r="BG19"/>
  <c r="BJ19" i="51" s="1"/>
  <c r="F20" i="50"/>
  <c r="I20"/>
  <c r="L20"/>
  <c r="O20"/>
  <c r="R20"/>
  <c r="U20"/>
  <c r="V20"/>
  <c r="W20"/>
  <c r="AA20"/>
  <c r="AD20"/>
  <c r="AG20"/>
  <c r="AH20"/>
  <c r="AW20" i="51" s="1"/>
  <c r="AI20" i="50"/>
  <c r="AX20" i="51" s="1"/>
  <c r="AP20" i="50"/>
  <c r="AS20"/>
  <c r="AT20"/>
  <c r="BC20" i="51" s="1"/>
  <c r="AU20" i="50"/>
  <c r="BD20" i="51" s="1"/>
  <c r="BB20" i="50"/>
  <c r="BE20"/>
  <c r="BF20"/>
  <c r="BI20" i="51" s="1"/>
  <c r="BG20" i="50"/>
  <c r="BJ20" i="51" s="1"/>
  <c r="F21" i="50"/>
  <c r="I21"/>
  <c r="L21"/>
  <c r="O21"/>
  <c r="R21"/>
  <c r="U21"/>
  <c r="V21"/>
  <c r="AT21" i="51" s="1"/>
  <c r="W21" i="50"/>
  <c r="AU21" i="51" s="1"/>
  <c r="AA21" i="50"/>
  <c r="AD21"/>
  <c r="AG21"/>
  <c r="AH21"/>
  <c r="AW21" i="51" s="1"/>
  <c r="AI21" i="50"/>
  <c r="AX21" i="51" s="1"/>
  <c r="AP21" i="50"/>
  <c r="AS21"/>
  <c r="AT21"/>
  <c r="AU21"/>
  <c r="BD21" i="51" s="1"/>
  <c r="BB21" i="50"/>
  <c r="BE21"/>
  <c r="BF21"/>
  <c r="BI21" i="51" s="1"/>
  <c r="BG21" i="50"/>
  <c r="BJ21" i="51" s="1"/>
  <c r="F22" i="50"/>
  <c r="I22"/>
  <c r="L22"/>
  <c r="O22"/>
  <c r="R22"/>
  <c r="U22"/>
  <c r="V22"/>
  <c r="W22"/>
  <c r="AA22"/>
  <c r="AD22"/>
  <c r="AG22"/>
  <c r="AH22"/>
  <c r="AW22" i="51" s="1"/>
  <c r="AI22" i="50"/>
  <c r="AX22" i="51" s="1"/>
  <c r="AP22" i="50"/>
  <c r="AS22"/>
  <c r="AT22"/>
  <c r="AU22"/>
  <c r="BD22" i="51" s="1"/>
  <c r="BB22" i="50"/>
  <c r="BE22"/>
  <c r="BF22"/>
  <c r="BG22"/>
  <c r="BJ22" i="51" s="1"/>
  <c r="F23" i="50"/>
  <c r="I23"/>
  <c r="L23"/>
  <c r="O23"/>
  <c r="R23"/>
  <c r="U23"/>
  <c r="V23"/>
  <c r="W23"/>
  <c r="AA23"/>
  <c r="AD23"/>
  <c r="AG23"/>
  <c r="AH23"/>
  <c r="AW23" i="51" s="1"/>
  <c r="AI23" i="50"/>
  <c r="AX23" i="51" s="1"/>
  <c r="AP23" i="50"/>
  <c r="AS23"/>
  <c r="AT23"/>
  <c r="BC23" i="51" s="1"/>
  <c r="AU23" i="50"/>
  <c r="BD23" i="51" s="1"/>
  <c r="BB23" i="50"/>
  <c r="BE23"/>
  <c r="BF23"/>
  <c r="BG23"/>
  <c r="BJ23" i="51" s="1"/>
  <c r="F24" i="50"/>
  <c r="I24"/>
  <c r="L24"/>
  <c r="O24"/>
  <c r="R24"/>
  <c r="V24"/>
  <c r="AT24" i="51" s="1"/>
  <c r="W24" i="50"/>
  <c r="AA24"/>
  <c r="AD24"/>
  <c r="AG24"/>
  <c r="AH24"/>
  <c r="AI24"/>
  <c r="AX24" i="51" s="1"/>
  <c r="AP24" i="50"/>
  <c r="AS24"/>
  <c r="AT24"/>
  <c r="AU24"/>
  <c r="BD24" i="51" s="1"/>
  <c r="BB24" i="50"/>
  <c r="BE24"/>
  <c r="BF24"/>
  <c r="BI24" i="51" s="1"/>
  <c r="BG24" i="50"/>
  <c r="BJ24" i="51" s="1"/>
  <c r="F25" i="50"/>
  <c r="I25"/>
  <c r="L25"/>
  <c r="O25"/>
  <c r="R25"/>
  <c r="V25"/>
  <c r="W25"/>
  <c r="AA25"/>
  <c r="AD25"/>
  <c r="AG25"/>
  <c r="AH25"/>
  <c r="AW25" i="51" s="1"/>
  <c r="AI25" i="50"/>
  <c r="AX25" i="51" s="1"/>
  <c r="AP25" i="50"/>
  <c r="AS25"/>
  <c r="AT25"/>
  <c r="AU25"/>
  <c r="BD25" i="51" s="1"/>
  <c r="BB25" i="50"/>
  <c r="BE25"/>
  <c r="BF25"/>
  <c r="BI25" i="51" s="1"/>
  <c r="BG25" i="50"/>
  <c r="BJ25" i="51" s="1"/>
  <c r="F26" i="50"/>
  <c r="I26"/>
  <c r="L26"/>
  <c r="O26"/>
  <c r="R26"/>
  <c r="U26"/>
  <c r="V26"/>
  <c r="AT26" i="51" s="1"/>
  <c r="W26" i="50"/>
  <c r="AA26"/>
  <c r="AD26"/>
  <c r="AG26"/>
  <c r="AH26"/>
  <c r="AW26" i="51" s="1"/>
  <c r="AI26" i="50"/>
  <c r="AX26" i="51" s="1"/>
  <c r="AP26" i="50"/>
  <c r="AS26"/>
  <c r="AT26"/>
  <c r="BC26" i="51" s="1"/>
  <c r="AU26" i="50"/>
  <c r="BD26" i="51" s="1"/>
  <c r="BB26" i="50"/>
  <c r="BE26"/>
  <c r="BF26"/>
  <c r="BI26" i="51" s="1"/>
  <c r="BG26" i="50"/>
  <c r="F27"/>
  <c r="I27"/>
  <c r="L27"/>
  <c r="O27"/>
  <c r="R27"/>
  <c r="U27"/>
  <c r="V27"/>
  <c r="W27"/>
  <c r="AU27" i="51" s="1"/>
  <c r="AC41" i="50"/>
  <c r="AG27"/>
  <c r="AP27"/>
  <c r="AS27"/>
  <c r="AT27"/>
  <c r="AU27"/>
  <c r="BD27" i="51" s="1"/>
  <c r="BB27" i="50"/>
  <c r="BE27"/>
  <c r="BF27"/>
  <c r="BI27" i="51" s="1"/>
  <c r="BG27" i="50"/>
  <c r="BJ27" i="51" s="1"/>
  <c r="F28" i="50"/>
  <c r="I28"/>
  <c r="L28"/>
  <c r="O28"/>
  <c r="R28"/>
  <c r="U28"/>
  <c r="V28"/>
  <c r="W28"/>
  <c r="AA28"/>
  <c r="AD28"/>
  <c r="AG28"/>
  <c r="AH28"/>
  <c r="AW28" i="51" s="1"/>
  <c r="AI28" i="50"/>
  <c r="AX28" i="51" s="1"/>
  <c r="AP28" i="50"/>
  <c r="AS28"/>
  <c r="AT28"/>
  <c r="BC28" i="51" s="1"/>
  <c r="AU28" i="50"/>
  <c r="BB28"/>
  <c r="BE28"/>
  <c r="BF28"/>
  <c r="BI28" i="51" s="1"/>
  <c r="BG28" i="50"/>
  <c r="BJ28" i="51" s="1"/>
  <c r="F29" i="50"/>
  <c r="I29"/>
  <c r="L29"/>
  <c r="O29"/>
  <c r="R29"/>
  <c r="U29"/>
  <c r="V29"/>
  <c r="W29"/>
  <c r="AA29"/>
  <c r="AD29"/>
  <c r="AG29"/>
  <c r="AH29"/>
  <c r="AW29" i="51" s="1"/>
  <c r="AI29" i="50"/>
  <c r="AX29" i="51" s="1"/>
  <c r="AP29" i="50"/>
  <c r="AS29"/>
  <c r="AT29"/>
  <c r="BC29" i="51" s="1"/>
  <c r="AU29" i="50"/>
  <c r="BD29" i="51" s="1"/>
  <c r="BB29" i="50"/>
  <c r="BE29"/>
  <c r="BF29"/>
  <c r="BI29" i="51" s="1"/>
  <c r="BG29" i="50"/>
  <c r="BJ29" i="51" s="1"/>
  <c r="F30" i="50"/>
  <c r="I30"/>
  <c r="L30"/>
  <c r="O30"/>
  <c r="R30"/>
  <c r="U30"/>
  <c r="V30"/>
  <c r="AT30" i="51" s="1"/>
  <c r="W30" i="50"/>
  <c r="AA30"/>
  <c r="AD30"/>
  <c r="AG30"/>
  <c r="AH30"/>
  <c r="AW30" i="51" s="1"/>
  <c r="AI30" i="50"/>
  <c r="AX30" i="51" s="1"/>
  <c r="AP30" i="50"/>
  <c r="AS30"/>
  <c r="AT30"/>
  <c r="BC30" i="51" s="1"/>
  <c r="AU30" i="50"/>
  <c r="BD30" i="51" s="1"/>
  <c r="BB30" i="50"/>
  <c r="BE30"/>
  <c r="BF30"/>
  <c r="BG30"/>
  <c r="BJ30" i="51" s="1"/>
  <c r="F31" i="50"/>
  <c r="I31"/>
  <c r="L31"/>
  <c r="O31"/>
  <c r="R31"/>
  <c r="U31"/>
  <c r="V31"/>
  <c r="AT31" i="51" s="1"/>
  <c r="W31" i="50"/>
  <c r="AU31" i="51" s="1"/>
  <c r="AA31" i="50"/>
  <c r="AD31"/>
  <c r="AG31"/>
  <c r="AH31"/>
  <c r="AW31" i="51" s="1"/>
  <c r="AI31" i="50"/>
  <c r="AX31" i="51" s="1"/>
  <c r="AP31" i="50"/>
  <c r="AS31"/>
  <c r="AT31"/>
  <c r="BC31" i="51" s="1"/>
  <c r="AU31" i="50"/>
  <c r="BB31"/>
  <c r="BE31"/>
  <c r="BF31"/>
  <c r="BI31" i="51" s="1"/>
  <c r="BG31" i="50"/>
  <c r="BJ31" i="51" s="1"/>
  <c r="F32" i="50"/>
  <c r="I32"/>
  <c r="L32"/>
  <c r="O32"/>
  <c r="R32"/>
  <c r="U32"/>
  <c r="V32"/>
  <c r="W32"/>
  <c r="AU32" i="51" s="1"/>
  <c r="AA32" i="50"/>
  <c r="AD32"/>
  <c r="AG32"/>
  <c r="AH32"/>
  <c r="AW32" i="51" s="1"/>
  <c r="AI32" i="50"/>
  <c r="AX32" i="51" s="1"/>
  <c r="AP32" i="50"/>
  <c r="AS32"/>
  <c r="AT32"/>
  <c r="BC32" i="51" s="1"/>
  <c r="AU32" i="50"/>
  <c r="BB32"/>
  <c r="BE32"/>
  <c r="BF32"/>
  <c r="BI32" i="51" s="1"/>
  <c r="BG32" i="50"/>
  <c r="BJ32" i="51" s="1"/>
  <c r="F33" i="50"/>
  <c r="I33"/>
  <c r="L33"/>
  <c r="O33"/>
  <c r="R33"/>
  <c r="U33"/>
  <c r="V33"/>
  <c r="AT33" i="51" s="1"/>
  <c r="W33" i="50"/>
  <c r="AA33"/>
  <c r="AD33"/>
  <c r="AG33"/>
  <c r="AH33"/>
  <c r="AW33" i="51" s="1"/>
  <c r="AI33" i="50"/>
  <c r="AX33" i="51" s="1"/>
  <c r="AP33" i="50"/>
  <c r="AS33"/>
  <c r="AT33"/>
  <c r="BC33" i="51" s="1"/>
  <c r="AU33" i="50"/>
  <c r="BD33" i="51" s="1"/>
  <c r="BB33" i="50"/>
  <c r="BE33"/>
  <c r="BF33"/>
  <c r="BG33"/>
  <c r="BJ33" i="51" s="1"/>
  <c r="F34" i="50"/>
  <c r="I34"/>
  <c r="L34"/>
  <c r="O34"/>
  <c r="R34"/>
  <c r="U34"/>
  <c r="V34"/>
  <c r="AT34" i="51" s="1"/>
  <c r="W34" i="50"/>
  <c r="AU34" i="51" s="1"/>
  <c r="AA34" i="50"/>
  <c r="AD34"/>
  <c r="AG34"/>
  <c r="AH34"/>
  <c r="AW34" i="51" s="1"/>
  <c r="AI34" i="50"/>
  <c r="AX34" i="51" s="1"/>
  <c r="AP34" i="50"/>
  <c r="AS34"/>
  <c r="AT34"/>
  <c r="AU34"/>
  <c r="BD34" i="51" s="1"/>
  <c r="BB34" i="50"/>
  <c r="BE34"/>
  <c r="BF34"/>
  <c r="BI34" i="51" s="1"/>
  <c r="BG34" i="50"/>
  <c r="BJ34" i="51" s="1"/>
  <c r="F35" i="50"/>
  <c r="I35"/>
  <c r="L35"/>
  <c r="O35"/>
  <c r="R35"/>
  <c r="U35"/>
  <c r="V35"/>
  <c r="W35"/>
  <c r="AU35" i="51" s="1"/>
  <c r="AA35" i="50"/>
  <c r="AD35"/>
  <c r="AG35"/>
  <c r="AH35"/>
  <c r="AI35"/>
  <c r="AP35"/>
  <c r="AS35"/>
  <c r="AT35"/>
  <c r="BC35" i="51" s="1"/>
  <c r="AU35" i="50"/>
  <c r="BD35" i="51" s="1"/>
  <c r="BB35" i="50"/>
  <c r="BE35"/>
  <c r="BF35"/>
  <c r="BG35"/>
  <c r="BJ35" i="51" s="1"/>
  <c r="F36" i="50"/>
  <c r="I36"/>
  <c r="L36"/>
  <c r="O36"/>
  <c r="R36"/>
  <c r="U36"/>
  <c r="V36"/>
  <c r="W36"/>
  <c r="AA36"/>
  <c r="AD36"/>
  <c r="AG36"/>
  <c r="AH36"/>
  <c r="AW36" i="51" s="1"/>
  <c r="AI36" i="50"/>
  <c r="AX36" i="51" s="1"/>
  <c r="AP36" i="50"/>
  <c r="AS36"/>
  <c r="AT36"/>
  <c r="BC36" i="51" s="1"/>
  <c r="AU36" i="50"/>
  <c r="BD36" i="51" s="1"/>
  <c r="BB36" i="50"/>
  <c r="BE36"/>
  <c r="BF36"/>
  <c r="BI36" i="51" s="1"/>
  <c r="BG36" i="50"/>
  <c r="BJ36" i="51" s="1"/>
  <c r="F37" i="50"/>
  <c r="I37"/>
  <c r="L37"/>
  <c r="O37"/>
  <c r="R37"/>
  <c r="U37"/>
  <c r="V37"/>
  <c r="AT37" i="51" s="1"/>
  <c r="W37" i="50"/>
  <c r="AA37"/>
  <c r="AD37"/>
  <c r="AG37"/>
  <c r="AH37"/>
  <c r="AW37" i="51" s="1"/>
  <c r="AI37" i="50"/>
  <c r="AX37" i="51" s="1"/>
  <c r="AP37" i="50"/>
  <c r="AS37"/>
  <c r="AT37"/>
  <c r="BC37" i="51" s="1"/>
  <c r="AU37" i="50"/>
  <c r="BD37" i="51" s="1"/>
  <c r="BB37" i="50"/>
  <c r="BE37"/>
  <c r="BF37"/>
  <c r="BG37"/>
  <c r="BJ37" i="51" s="1"/>
  <c r="F38" i="50"/>
  <c r="I38"/>
  <c r="L38"/>
  <c r="O38"/>
  <c r="R38"/>
  <c r="U38"/>
  <c r="V38"/>
  <c r="AT38" i="51" s="1"/>
  <c r="W38" i="50"/>
  <c r="AU38" i="51" s="1"/>
  <c r="AA38" i="50"/>
  <c r="AD38"/>
  <c r="AG38"/>
  <c r="AH38"/>
  <c r="AW38" i="51" s="1"/>
  <c r="AI38" i="50"/>
  <c r="AX38" i="51" s="1"/>
  <c r="AP38" i="50"/>
  <c r="AS38"/>
  <c r="AT38"/>
  <c r="AU38"/>
  <c r="BD38" i="51" s="1"/>
  <c r="BB38" i="50"/>
  <c r="BE38"/>
  <c r="BF38"/>
  <c r="BI38" i="51" s="1"/>
  <c r="BG38" i="50"/>
  <c r="BJ38" i="51" s="1"/>
  <c r="F39" i="50"/>
  <c r="L39"/>
  <c r="O39"/>
  <c r="R39"/>
  <c r="U39"/>
  <c r="V39"/>
  <c r="W39"/>
  <c r="AD39"/>
  <c r="AG39"/>
  <c r="AH39"/>
  <c r="AW39" i="51" s="1"/>
  <c r="AI39" i="50"/>
  <c r="AP39"/>
  <c r="AS39"/>
  <c r="AT39"/>
  <c r="BC39" i="51" s="1"/>
  <c r="AU39" i="50"/>
  <c r="BD39" i="51" s="1"/>
  <c r="BB39" i="50"/>
  <c r="BE39"/>
  <c r="BF39"/>
  <c r="BG39"/>
  <c r="BJ39" i="51" s="1"/>
  <c r="F40" i="50"/>
  <c r="I40"/>
  <c r="L40"/>
  <c r="O40"/>
  <c r="R40"/>
  <c r="U40"/>
  <c r="V40"/>
  <c r="AT40" i="51" s="1"/>
  <c r="W40" i="50"/>
  <c r="AU40" i="51" s="1"/>
  <c r="AA40" i="50"/>
  <c r="AD40"/>
  <c r="AG40"/>
  <c r="AH40"/>
  <c r="AI40"/>
  <c r="AX40" i="51" s="1"/>
  <c r="AP40" i="50"/>
  <c r="AS40"/>
  <c r="AT40"/>
  <c r="AU40"/>
  <c r="BD40" i="51" s="1"/>
  <c r="BB40" i="50"/>
  <c r="BE40"/>
  <c r="BF40"/>
  <c r="BI40" i="51" s="1"/>
  <c r="BG40" i="50"/>
  <c r="D41"/>
  <c r="E41"/>
  <c r="G41"/>
  <c r="J41"/>
  <c r="K41"/>
  <c r="M41"/>
  <c r="N41"/>
  <c r="P41"/>
  <c r="Q41"/>
  <c r="S41"/>
  <c r="T41"/>
  <c r="Y41"/>
  <c r="Z41"/>
  <c r="AE41"/>
  <c r="AN41"/>
  <c r="AO41"/>
  <c r="AQ41"/>
  <c r="AR41"/>
  <c r="AZ41"/>
  <c r="BA41"/>
  <c r="BC41"/>
  <c r="BD41"/>
  <c r="BG42"/>
  <c r="BA11" i="14"/>
  <c r="BA10"/>
  <c r="AO11" i="12"/>
  <c r="H11"/>
  <c r="E38" i="14"/>
  <c r="AO38" i="12"/>
  <c r="E37"/>
  <c r="BA19"/>
  <c r="E34" i="14"/>
  <c r="AO30"/>
  <c r="BF13" i="4"/>
  <c r="BE13"/>
  <c r="BD13"/>
  <c r="BA13"/>
  <c r="AT13"/>
  <c r="AS13"/>
  <c r="AR13"/>
  <c r="AO13"/>
  <c r="AH13"/>
  <c r="AG13"/>
  <c r="AF13"/>
  <c r="AC13"/>
  <c r="Z13"/>
  <c r="V13"/>
  <c r="U13"/>
  <c r="T13"/>
  <c r="Q13"/>
  <c r="N13"/>
  <c r="K13"/>
  <c r="H13"/>
  <c r="E13"/>
  <c r="BF13" i="12"/>
  <c r="BE13"/>
  <c r="N37" i="27"/>
  <c r="H18" i="14"/>
  <c r="AI40" i="48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I6"/>
  <c r="AF6"/>
  <c r="AC6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W6"/>
  <c r="T6"/>
  <c r="Q6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6"/>
  <c r="BK3" i="12"/>
  <c r="BK3" i="14" s="1"/>
  <c r="O42" i="48"/>
  <c r="U42" s="1"/>
  <c r="I42"/>
  <c r="AJ40"/>
  <c r="AJ37"/>
  <c r="X36"/>
  <c r="AG2"/>
  <c r="U2"/>
  <c r="I2"/>
  <c r="O1"/>
  <c r="AA1" s="1"/>
  <c r="AG1" s="1"/>
  <c r="I1"/>
  <c r="I2" i="40"/>
  <c r="I1"/>
  <c r="I2" i="39"/>
  <c r="I1"/>
  <c r="I2" i="38"/>
  <c r="I1"/>
  <c r="AI31" i="6" l="1"/>
  <c r="AK31"/>
  <c r="W17" i="12"/>
  <c r="D17" i="18"/>
  <c r="C16" i="36"/>
  <c r="BW35" i="52"/>
  <c r="BW23"/>
  <c r="K19" i="26"/>
  <c r="E55" i="28" s="1"/>
  <c r="BA6" i="14"/>
  <c r="BV13" i="52"/>
  <c r="BV12"/>
  <c r="BP10"/>
  <c r="AI13" i="4"/>
  <c r="AX43" i="52"/>
  <c r="AS8" i="12"/>
  <c r="BV9" i="52"/>
  <c r="AU13" i="4"/>
  <c r="BS29" i="52"/>
  <c r="BV32"/>
  <c r="BV31"/>
  <c r="N39" i="48"/>
  <c r="N37"/>
  <c r="L41" i="50"/>
  <c r="AV35"/>
  <c r="BE35" i="51" s="1"/>
  <c r="AV32" i="50"/>
  <c r="BE32" i="51" s="1"/>
  <c r="AV13" i="50"/>
  <c r="BE13" i="51" s="1"/>
  <c r="AL43" i="52"/>
  <c r="BX27"/>
  <c r="BX26"/>
  <c r="BS18"/>
  <c r="AR8" i="4"/>
  <c r="AV34" i="50"/>
  <c r="BE34" i="51" s="1"/>
  <c r="Z43" i="52"/>
  <c r="BN43"/>
  <c r="N43"/>
  <c r="BM27"/>
  <c r="BV21"/>
  <c r="BW18"/>
  <c r="AW13" i="4"/>
  <c r="BG13"/>
  <c r="AJ35" i="50"/>
  <c r="AY35" i="51" s="1"/>
  <c r="BA28"/>
  <c r="AV25" i="50"/>
  <c r="BE25" i="51" s="1"/>
  <c r="AV24" i="50"/>
  <c r="BE24" i="51" s="1"/>
  <c r="BH23" i="50"/>
  <c r="BK23" i="51" s="1"/>
  <c r="BH19" i="50"/>
  <c r="BK19" i="51" s="1"/>
  <c r="AV19" i="50"/>
  <c r="BE19" i="51" s="1"/>
  <c r="AL19" i="50"/>
  <c r="AX19" s="1"/>
  <c r="BG19" i="51" s="1"/>
  <c r="AK16" i="50"/>
  <c r="AW16" s="1"/>
  <c r="BF16" i="51" s="1"/>
  <c r="BH12" i="50"/>
  <c r="BK12" i="51" s="1"/>
  <c r="AJ12" i="50"/>
  <c r="AY12" i="51" s="1"/>
  <c r="BA12"/>
  <c r="BD32"/>
  <c r="BG43" i="52"/>
  <c r="BY38"/>
  <c r="BM37"/>
  <c r="BV34"/>
  <c r="BX28"/>
  <c r="BX19"/>
  <c r="BI13" i="4"/>
  <c r="BL13" s="1"/>
  <c r="AK14" i="50"/>
  <c r="AW14" s="1"/>
  <c r="BF14" i="51" s="1"/>
  <c r="BH33" i="50"/>
  <c r="BK33" i="51" s="1"/>
  <c r="BH30" i="50"/>
  <c r="BK30" i="51" s="1"/>
  <c r="AL30" i="50"/>
  <c r="AX30" s="1"/>
  <c r="BG30" i="51" s="1"/>
  <c r="AZ22"/>
  <c r="AV21" i="50"/>
  <c r="BE21" i="51" s="1"/>
  <c r="BC25"/>
  <c r="BV42" i="52"/>
  <c r="BM31"/>
  <c r="BV25"/>
  <c r="BV17"/>
  <c r="V31" i="6"/>
  <c r="S29"/>
  <c r="J29"/>
  <c r="H29"/>
  <c r="AI29"/>
  <c r="AE29"/>
  <c r="AG29"/>
  <c r="AE31"/>
  <c r="AV9" i="50"/>
  <c r="BE9" i="51" s="1"/>
  <c r="BH40" i="50"/>
  <c r="BK40" i="51" s="1"/>
  <c r="BH35" i="50"/>
  <c r="BK35" i="51" s="1"/>
  <c r="AZ23"/>
  <c r="BH22" i="50"/>
  <c r="BK22" i="51" s="1"/>
  <c r="AV22" i="50"/>
  <c r="BE22" i="51" s="1"/>
  <c r="AZ12"/>
  <c r="AL9" i="50"/>
  <c r="AX9" s="1"/>
  <c r="BG9" i="51" s="1"/>
  <c r="BI12"/>
  <c r="AI43" i="52"/>
  <c r="W43"/>
  <c r="BM40"/>
  <c r="BV37"/>
  <c r="BS35"/>
  <c r="BP33"/>
  <c r="BM23"/>
  <c r="BV20"/>
  <c r="BV16"/>
  <c r="AU43"/>
  <c r="BM41"/>
  <c r="BW27"/>
  <c r="BM24"/>
  <c r="BP18"/>
  <c r="BM12"/>
  <c r="BM8"/>
  <c r="Z31" i="6"/>
  <c r="BH6" i="50"/>
  <c r="BK6" i="51" s="1"/>
  <c r="BG13" i="12"/>
  <c r="BH13" i="4"/>
  <c r="BK13" s="1"/>
  <c r="AK13"/>
  <c r="BH24" i="50"/>
  <c r="BK24" i="51" s="1"/>
  <c r="BH9" i="50"/>
  <c r="BK9" i="51" s="1"/>
  <c r="BM20" i="52"/>
  <c r="BM15"/>
  <c r="BA36" i="51"/>
  <c r="O29" i="6"/>
  <c r="D29"/>
  <c r="V29"/>
  <c r="AB29"/>
  <c r="AB30"/>
  <c r="Z30"/>
  <c r="Z29"/>
  <c r="AV40" i="50"/>
  <c r="BE40" i="51" s="1"/>
  <c r="BH39" i="50"/>
  <c r="BK39" i="51" s="1"/>
  <c r="AZ39"/>
  <c r="AV11" i="50"/>
  <c r="BE11" i="51" s="1"/>
  <c r="AK6" i="50"/>
  <c r="AW6" s="1"/>
  <c r="BF6" i="51" s="1"/>
  <c r="BG41" i="50"/>
  <c r="BJ42" i="51" s="1"/>
  <c r="BE41" i="50"/>
  <c r="BJ43" i="52"/>
  <c r="AR43"/>
  <c r="AO43"/>
  <c r="AC43"/>
  <c r="BS41"/>
  <c r="BS40"/>
  <c r="BS39"/>
  <c r="BS36"/>
  <c r="BS31"/>
  <c r="BS25"/>
  <c r="BS24"/>
  <c r="BS20"/>
  <c r="BS19"/>
  <c r="BS14"/>
  <c r="BS12"/>
  <c r="BS10"/>
  <c r="BS9"/>
  <c r="BS8"/>
  <c r="T43"/>
  <c r="BP40"/>
  <c r="BP32"/>
  <c r="BP28"/>
  <c r="BP26"/>
  <c r="BP23"/>
  <c r="BP19"/>
  <c r="BP17"/>
  <c r="BP15"/>
  <c r="BP11"/>
  <c r="Q43"/>
  <c r="BM42"/>
  <c r="BM39"/>
  <c r="BM34"/>
  <c r="BM33"/>
  <c r="BM29"/>
  <c r="BM26"/>
  <c r="BM25"/>
  <c r="BM22"/>
  <c r="BM21"/>
  <c r="BM16"/>
  <c r="BM14"/>
  <c r="BM13"/>
  <c r="BM9"/>
  <c r="BV41"/>
  <c r="BX41"/>
  <c r="BV40"/>
  <c r="BV39"/>
  <c r="BX37"/>
  <c r="BW37"/>
  <c r="BV36"/>
  <c r="BX36"/>
  <c r="BV35"/>
  <c r="BX31"/>
  <c r="BV30"/>
  <c r="BV29"/>
  <c r="BV28"/>
  <c r="BV24"/>
  <c r="BV19"/>
  <c r="BV18"/>
  <c r="BX17"/>
  <c r="BW16"/>
  <c r="BV15"/>
  <c r="BX15"/>
  <c r="BV14"/>
  <c r="BV11"/>
  <c r="BX11"/>
  <c r="BV10"/>
  <c r="BV8"/>
  <c r="K43"/>
  <c r="BS32"/>
  <c r="BS13"/>
  <c r="BS42"/>
  <c r="BS37"/>
  <c r="BS34"/>
  <c r="BW31"/>
  <c r="BX30"/>
  <c r="BS28"/>
  <c r="BS21"/>
  <c r="BS17"/>
  <c r="BS15"/>
  <c r="BW10"/>
  <c r="BW9"/>
  <c r="BW8"/>
  <c r="BX39"/>
  <c r="BS30"/>
  <c r="BX24"/>
  <c r="BS16"/>
  <c r="BS11"/>
  <c r="BX9"/>
  <c r="BP41"/>
  <c r="BP36"/>
  <c r="BP30"/>
  <c r="BP24"/>
  <c r="BP22"/>
  <c r="BP14"/>
  <c r="BP34"/>
  <c r="BP27"/>
  <c r="BX22"/>
  <c r="BP21"/>
  <c r="BP13"/>
  <c r="BP8"/>
  <c r="BP35"/>
  <c r="BX33"/>
  <c r="BX16"/>
  <c r="BX40"/>
  <c r="BM30"/>
  <c r="BX23"/>
  <c r="BX20"/>
  <c r="BX12"/>
  <c r="BW42"/>
  <c r="BX34"/>
  <c r="BM32"/>
  <c r="BW28"/>
  <c r="BW25"/>
  <c r="BX21"/>
  <c r="BW19"/>
  <c r="BM18"/>
  <c r="BX13"/>
  <c r="BW11"/>
  <c r="BM10"/>
  <c r="BX8"/>
  <c r="BM36"/>
  <c r="BX42"/>
  <c r="BW39"/>
  <c r="BY39" s="1"/>
  <c r="BM35"/>
  <c r="BX32"/>
  <c r="BX29"/>
  <c r="BM28"/>
  <c r="BX25"/>
  <c r="BW20"/>
  <c r="BM19"/>
  <c r="BM17"/>
  <c r="BW14"/>
  <c r="BW12"/>
  <c r="BM11"/>
  <c r="BI39" i="51"/>
  <c r="BH26" i="50"/>
  <c r="BK26" i="51" s="1"/>
  <c r="BH31" i="50"/>
  <c r="BK31" i="51" s="1"/>
  <c r="BI23"/>
  <c r="BJ6"/>
  <c r="BI19"/>
  <c r="BH13" i="50"/>
  <c r="BK13" i="51" s="1"/>
  <c r="BH10" i="50"/>
  <c r="BK10" i="51" s="1"/>
  <c r="BJ40"/>
  <c r="BI35"/>
  <c r="BH34" i="50"/>
  <c r="BK34" i="51" s="1"/>
  <c r="BH27" i="50"/>
  <c r="BK27" i="51" s="1"/>
  <c r="BH25" i="50"/>
  <c r="BK25" i="51" s="1"/>
  <c r="BL25" i="50"/>
  <c r="BH14"/>
  <c r="BK14" i="51" s="1"/>
  <c r="BH37" i="50"/>
  <c r="BK37" i="51" s="1"/>
  <c r="BH29" i="50"/>
  <c r="BK29" i="51" s="1"/>
  <c r="BH21" i="50"/>
  <c r="BK21" i="51" s="1"/>
  <c r="BH20" i="50"/>
  <c r="BK20" i="51" s="1"/>
  <c r="BI37"/>
  <c r="BI33"/>
  <c r="BI30"/>
  <c r="BJ26"/>
  <c r="BI22"/>
  <c r="BJ14"/>
  <c r="AV38" i="50"/>
  <c r="BE38" i="51" s="1"/>
  <c r="AV27" i="50"/>
  <c r="BE27" i="51" s="1"/>
  <c r="AV31" i="50"/>
  <c r="BE31" i="51" s="1"/>
  <c r="AV23" i="50"/>
  <c r="BE23" i="51" s="1"/>
  <c r="BL40" i="50"/>
  <c r="AV28"/>
  <c r="BE28" i="51" s="1"/>
  <c r="AS41" i="50"/>
  <c r="BC40" i="51"/>
  <c r="BD31"/>
  <c r="BC24"/>
  <c r="BC22"/>
  <c r="BC21"/>
  <c r="BC13"/>
  <c r="AV39" i="50"/>
  <c r="BE39" i="51" s="1"/>
  <c r="AV36" i="50"/>
  <c r="BE36" i="51" s="1"/>
  <c r="BM35" i="50"/>
  <c r="AV26"/>
  <c r="BE26" i="51" s="1"/>
  <c r="AV18" i="50"/>
  <c r="BE18" i="51" s="1"/>
  <c r="AV12" i="50"/>
  <c r="BE12" i="51" s="1"/>
  <c r="BC27"/>
  <c r="BD28"/>
  <c r="BC19"/>
  <c r="AV16" i="50"/>
  <c r="BE16" i="51" s="1"/>
  <c r="BC38"/>
  <c r="BC34"/>
  <c r="BD16"/>
  <c r="BC12"/>
  <c r="BC11"/>
  <c r="AK39" i="50"/>
  <c r="AW39" s="1"/>
  <c r="BA37" i="51"/>
  <c r="BL36" i="50"/>
  <c r="AZ36" i="51"/>
  <c r="BA33"/>
  <c r="BL32" i="50"/>
  <c r="AZ32" i="51"/>
  <c r="BA29"/>
  <c r="BL28" i="50"/>
  <c r="AZ28" i="51"/>
  <c r="AL23" i="50"/>
  <c r="AX23" s="1"/>
  <c r="BG23" i="51" s="1"/>
  <c r="AK22" i="50"/>
  <c r="AW22" s="1"/>
  <c r="BF22" i="51" s="1"/>
  <c r="BA20"/>
  <c r="AZ19"/>
  <c r="AK11" i="50"/>
  <c r="AW11" s="1"/>
  <c r="AL10"/>
  <c r="AX10" s="1"/>
  <c r="BG10" i="51" s="1"/>
  <c r="AK20" i="50"/>
  <c r="AW20" s="1"/>
  <c r="BF20" i="51" s="1"/>
  <c r="AZ18"/>
  <c r="AG41" i="50"/>
  <c r="AJ39"/>
  <c r="AY39" i="51" s="1"/>
  <c r="BL26" i="50"/>
  <c r="AJ24"/>
  <c r="AY24" i="51" s="1"/>
  <c r="AL24" i="50"/>
  <c r="AX24" s="1"/>
  <c r="BG24" i="51" s="1"/>
  <c r="AK17" i="50"/>
  <c r="AW17" s="1"/>
  <c r="AL16"/>
  <c r="AX16" s="1"/>
  <c r="BG16" i="51" s="1"/>
  <c r="AK8" i="50"/>
  <c r="AW8" s="1"/>
  <c r="AL7"/>
  <c r="AX7" s="1"/>
  <c r="BG7" i="51" s="1"/>
  <c r="AZ7"/>
  <c r="BA6"/>
  <c r="AX39"/>
  <c r="AW35"/>
  <c r="AJ31" i="50"/>
  <c r="AY31" i="51" s="1"/>
  <c r="AJ25" i="50"/>
  <c r="AY25" i="51" s="1"/>
  <c r="BM18" i="50"/>
  <c r="AJ13"/>
  <c r="AY13" i="51" s="1"/>
  <c r="AW40"/>
  <c r="AX35"/>
  <c r="AW24"/>
  <c r="BA39"/>
  <c r="AK35" i="50"/>
  <c r="AW35" s="1"/>
  <c r="AZ35" i="51"/>
  <c r="BJ30" i="50"/>
  <c r="BM30" i="51" s="1"/>
  <c r="AZ29"/>
  <c r="BA26"/>
  <c r="AL25" i="50"/>
  <c r="AX25" s="1"/>
  <c r="BG25" i="51" s="1"/>
  <c r="AJ23" i="50"/>
  <c r="AY23" i="51" s="1"/>
  <c r="AJ22" i="50"/>
  <c r="AY22" i="51" s="1"/>
  <c r="BA22"/>
  <c r="AJ19" i="50"/>
  <c r="AY19" i="51" s="1"/>
  <c r="AJ18" i="50"/>
  <c r="AY18" i="51" s="1"/>
  <c r="AL13" i="50"/>
  <c r="AX13" s="1"/>
  <c r="BG13" i="51" s="1"/>
  <c r="AK10" i="50"/>
  <c r="AW10" s="1"/>
  <c r="BF10" i="51" s="1"/>
  <c r="AJ8" i="50"/>
  <c r="AY8" i="51" s="1"/>
  <c r="BA8"/>
  <c r="AW12"/>
  <c r="AW8"/>
  <c r="AJ9" i="50"/>
  <c r="AY9" i="51" s="1"/>
  <c r="AU36"/>
  <c r="AZ21"/>
  <c r="U41" i="50"/>
  <c r="BI35"/>
  <c r="BL35" i="51" s="1"/>
  <c r="BI18" i="50"/>
  <c r="BL18" i="51" s="1"/>
  <c r="AK12" i="50"/>
  <c r="AW12" s="1"/>
  <c r="BF12" i="51" s="1"/>
  <c r="BI8" i="50"/>
  <c r="BL8" i="51" s="1"/>
  <c r="BJ38" i="50"/>
  <c r="BM38" i="51" s="1"/>
  <c r="AK31" i="50"/>
  <c r="AW31" s="1"/>
  <c r="BF31" i="51" s="1"/>
  <c r="AK18" i="50"/>
  <c r="AW18" s="1"/>
  <c r="BF18" i="51" s="1"/>
  <c r="BL14" i="50"/>
  <c r="AU30" i="51"/>
  <c r="BL10" i="50"/>
  <c r="AZ31" i="51"/>
  <c r="AT23"/>
  <c r="BA13"/>
  <c r="X21" i="50"/>
  <c r="AT29" i="51"/>
  <c r="AT12"/>
  <c r="O41" i="50"/>
  <c r="BJ21"/>
  <c r="BM21" i="51" s="1"/>
  <c r="BL19" i="50"/>
  <c r="AY10"/>
  <c r="BH10" i="51" s="1"/>
  <c r="AU16"/>
  <c r="AZ13"/>
  <c r="BJ17" i="50"/>
  <c r="BM17" i="51" s="1"/>
  <c r="BJ11" i="50"/>
  <c r="BM11" i="51" s="1"/>
  <c r="AT39"/>
  <c r="BA38"/>
  <c r="AT19"/>
  <c r="AZ17"/>
  <c r="AU9"/>
  <c r="X17" i="50"/>
  <c r="AV17" i="51" s="1"/>
  <c r="AT32"/>
  <c r="AU29"/>
  <c r="BA17"/>
  <c r="AZ10"/>
  <c r="BI39" i="50"/>
  <c r="BL39" i="51" s="1"/>
  <c r="BL24" i="50"/>
  <c r="BI22"/>
  <c r="BL22" i="51" s="1"/>
  <c r="BM19" i="50"/>
  <c r="BM17"/>
  <c r="AU39" i="51"/>
  <c r="BA35"/>
  <c r="AT35"/>
  <c r="AZ26"/>
  <c r="AU26"/>
  <c r="BA25"/>
  <c r="AZ24"/>
  <c r="BA21"/>
  <c r="AU20"/>
  <c r="BA14"/>
  <c r="AT14"/>
  <c r="AU12"/>
  <c r="BA10"/>
  <c r="AT7"/>
  <c r="AU37"/>
  <c r="AT28"/>
  <c r="AT15"/>
  <c r="X29" i="50"/>
  <c r="AZ34" i="51"/>
  <c r="BA32"/>
  <c r="AU19"/>
  <c r="BM39" i="50"/>
  <c r="AL38"/>
  <c r="AX38" s="1"/>
  <c r="BG38" i="51" s="1"/>
  <c r="X33" i="50"/>
  <c r="AV33" i="51" s="1"/>
  <c r="X27" i="50"/>
  <c r="AV27" i="51" s="1"/>
  <c r="AL17" i="50"/>
  <c r="AX17" s="1"/>
  <c r="BG17" i="51" s="1"/>
  <c r="BM13" i="50"/>
  <c r="AL11"/>
  <c r="AX11" s="1"/>
  <c r="BG11" i="51" s="1"/>
  <c r="BL6" i="50"/>
  <c r="AZ38" i="51"/>
  <c r="AT36"/>
  <c r="AU33"/>
  <c r="AT22"/>
  <c r="BA18"/>
  <c r="AT18"/>
  <c r="BA11"/>
  <c r="AU6"/>
  <c r="AZ40"/>
  <c r="AV21"/>
  <c r="BA7"/>
  <c r="BM8" i="50"/>
  <c r="BJ7"/>
  <c r="BM7" i="51" s="1"/>
  <c r="X7" i="50"/>
  <c r="AZ37" i="51"/>
  <c r="BA31"/>
  <c r="AT25"/>
  <c r="BA24"/>
  <c r="AZ9"/>
  <c r="AU8"/>
  <c r="AZ6"/>
  <c r="X37" i="50"/>
  <c r="AL34"/>
  <c r="AX34" s="1"/>
  <c r="BG34" i="51" s="1"/>
  <c r="BI31" i="50"/>
  <c r="BL31" i="51" s="1"/>
  <c r="BI25" i="50"/>
  <c r="BL25" i="51" s="1"/>
  <c r="BM24" i="50"/>
  <c r="AL21"/>
  <c r="AX21" s="1"/>
  <c r="BG21" i="51" s="1"/>
  <c r="BI12" i="50"/>
  <c r="BL12" i="51" s="1"/>
  <c r="BL9" i="50"/>
  <c r="BM7"/>
  <c r="AZ33" i="51"/>
  <c r="BA30"/>
  <c r="AV29"/>
  <c r="AU28"/>
  <c r="AT27"/>
  <c r="AU25"/>
  <c r="AU22"/>
  <c r="AT17"/>
  <c r="BA16"/>
  <c r="AT10"/>
  <c r="BA9"/>
  <c r="AZ8"/>
  <c r="AU7"/>
  <c r="AT8"/>
  <c r="BM23" i="50"/>
  <c r="BA40" i="51"/>
  <c r="BA34"/>
  <c r="AZ30"/>
  <c r="AU23"/>
  <c r="AZ20"/>
  <c r="AZ16"/>
  <c r="AT11"/>
  <c r="BJ34" i="50"/>
  <c r="BM34" i="51" s="1"/>
  <c r="BM31" i="50"/>
  <c r="X31"/>
  <c r="BM25"/>
  <c r="BL20"/>
  <c r="BL16"/>
  <c r="X11"/>
  <c r="BM9"/>
  <c r="AZ25" i="51"/>
  <c r="AU24"/>
  <c r="BA23"/>
  <c r="AT20"/>
  <c r="BA19"/>
  <c r="AT16"/>
  <c r="AZ14"/>
  <c r="AU13"/>
  <c r="AZ11"/>
  <c r="AU10"/>
  <c r="AT6"/>
  <c r="F41" i="50"/>
  <c r="BC43" i="52"/>
  <c r="BD43" s="1"/>
  <c r="AE43"/>
  <c r="AF43" s="1"/>
  <c r="G43"/>
  <c r="BP39"/>
  <c r="BX35"/>
  <c r="BW32"/>
  <c r="BX18"/>
  <c r="BW17"/>
  <c r="BX14"/>
  <c r="BW13"/>
  <c r="BX10"/>
  <c r="BP42"/>
  <c r="BW41"/>
  <c r="BW40"/>
  <c r="BP37"/>
  <c r="BW36"/>
  <c r="BJ35"/>
  <c r="BP31"/>
  <c r="BW30"/>
  <c r="BY30" s="1"/>
  <c r="BN29"/>
  <c r="BW26"/>
  <c r="BP25"/>
  <c r="BW24"/>
  <c r="BW22"/>
  <c r="BP20"/>
  <c r="BP16"/>
  <c r="BW15"/>
  <c r="BP12"/>
  <c r="BP9"/>
  <c r="AY43"/>
  <c r="BW34"/>
  <c r="BW21"/>
  <c r="BY21" s="1"/>
  <c r="D43"/>
  <c r="BL43" s="1"/>
  <c r="BW33"/>
  <c r="AJ37" i="50"/>
  <c r="AY37" i="51" s="1"/>
  <c r="BL37" i="50"/>
  <c r="BM36"/>
  <c r="AJ33"/>
  <c r="AY33" i="51" s="1"/>
  <c r="BL33" i="50"/>
  <c r="BM32"/>
  <c r="AJ29"/>
  <c r="AY29" i="51" s="1"/>
  <c r="BL29" i="50"/>
  <c r="BM26"/>
  <c r="AJ21"/>
  <c r="AY21" i="51" s="1"/>
  <c r="BL21" i="50"/>
  <c r="BI21"/>
  <c r="AV20"/>
  <c r="BE20" i="51" s="1"/>
  <c r="BH17" i="50"/>
  <c r="BK17" i="51" s="1"/>
  <c r="W15" i="50"/>
  <c r="X15" s="1"/>
  <c r="I15"/>
  <c r="BM14"/>
  <c r="AJ14"/>
  <c r="AY14" i="51" s="1"/>
  <c r="X13" i="50"/>
  <c r="AK13"/>
  <c r="BI13"/>
  <c r="BL13" i="51" s="1"/>
  <c r="X12" i="50"/>
  <c r="AL12"/>
  <c r="AX12" s="1"/>
  <c r="BJ12"/>
  <c r="BM12" i="51" s="1"/>
  <c r="BM6" i="50"/>
  <c r="AJ6"/>
  <c r="AY6" i="51" s="1"/>
  <c r="X39" i="50"/>
  <c r="BH38"/>
  <c r="BK38" i="51" s="1"/>
  <c r="AJ38" i="50"/>
  <c r="AY38" i="51" s="1"/>
  <c r="BL38" i="50"/>
  <c r="X35"/>
  <c r="AJ34"/>
  <c r="AY34" i="51" s="1"/>
  <c r="BL34" i="50"/>
  <c r="BM33"/>
  <c r="AJ30"/>
  <c r="AY30" i="51" s="1"/>
  <c r="BL30" i="50"/>
  <c r="BM29"/>
  <c r="AH27"/>
  <c r="AW27" i="51" s="1"/>
  <c r="AA27" i="50"/>
  <c r="X23"/>
  <c r="BI23"/>
  <c r="BL23" i="51" s="1"/>
  <c r="AK23" i="50"/>
  <c r="X22"/>
  <c r="AL22"/>
  <c r="AX22" s="1"/>
  <c r="BJ22"/>
  <c r="BM22" i="51" s="1"/>
  <c r="BM16" i="50"/>
  <c r="AJ16"/>
  <c r="AY16" i="51" s="1"/>
  <c r="AV14" i="50"/>
  <c r="BE14" i="51" s="1"/>
  <c r="BH11" i="50"/>
  <c r="BK11" i="51" s="1"/>
  <c r="AJ7" i="50"/>
  <c r="AY7" i="51" s="1"/>
  <c r="BL7" i="50"/>
  <c r="AV6"/>
  <c r="BE6" i="51" s="1"/>
  <c r="AK40" i="50"/>
  <c r="BI40"/>
  <c r="BL40" i="51" s="1"/>
  <c r="X40" i="50"/>
  <c r="AL39"/>
  <c r="AX39" s="1"/>
  <c r="BG39" i="51" s="1"/>
  <c r="BJ39" i="50"/>
  <c r="BM39" i="51" s="1"/>
  <c r="AK36" i="50"/>
  <c r="BI36"/>
  <c r="BL36" i="51" s="1"/>
  <c r="X36" i="50"/>
  <c r="AL35"/>
  <c r="AX35" s="1"/>
  <c r="BG35" i="51" s="1"/>
  <c r="BJ35" i="50"/>
  <c r="BM35" i="51" s="1"/>
  <c r="AK32" i="50"/>
  <c r="BI32"/>
  <c r="X32"/>
  <c r="AL31"/>
  <c r="AX31" s="1"/>
  <c r="BG31" i="51" s="1"/>
  <c r="BJ31" i="50"/>
  <c r="BM31" i="51" s="1"/>
  <c r="AK28" i="50"/>
  <c r="BI28"/>
  <c r="BL28" i="51" s="1"/>
  <c r="X28" i="50"/>
  <c r="AK26"/>
  <c r="BI26"/>
  <c r="BL26" i="51" s="1"/>
  <c r="X26" i="50"/>
  <c r="X24"/>
  <c r="AK24"/>
  <c r="BI24"/>
  <c r="BL24" i="51" s="1"/>
  <c r="AJ17" i="50"/>
  <c r="AY17" i="51" s="1"/>
  <c r="BL17" i="50"/>
  <c r="BI17"/>
  <c r="AP15"/>
  <c r="AP41" s="1"/>
  <c r="AT15"/>
  <c r="BM10"/>
  <c r="AJ10"/>
  <c r="AY10" i="51" s="1"/>
  <c r="X9" i="50"/>
  <c r="AK9"/>
  <c r="BI9"/>
  <c r="X8"/>
  <c r="AL8"/>
  <c r="AX8" s="1"/>
  <c r="BG8" i="51" s="1"/>
  <c r="BJ8" i="50"/>
  <c r="BM8" i="51" s="1"/>
  <c r="AV7" i="50"/>
  <c r="BE7" i="51" s="1"/>
  <c r="BM40" i="50"/>
  <c r="BM28"/>
  <c r="AI15"/>
  <c r="AX15" i="51" s="1"/>
  <c r="AF41" i="50"/>
  <c r="AI41" s="1"/>
  <c r="AJ40"/>
  <c r="AY40" i="51" s="1"/>
  <c r="BM38" i="50"/>
  <c r="X38"/>
  <c r="BM37"/>
  <c r="BH36"/>
  <c r="BK36" i="51" s="1"/>
  <c r="AJ36" i="50"/>
  <c r="AY36" i="51" s="1"/>
  <c r="BM34" i="50"/>
  <c r="X34"/>
  <c r="BH32"/>
  <c r="BK32" i="51" s="1"/>
  <c r="AJ32" i="50"/>
  <c r="AY32" i="51" s="1"/>
  <c r="BM30" i="50"/>
  <c r="X30"/>
  <c r="BH28"/>
  <c r="BK28" i="51" s="1"/>
  <c r="AJ28" i="50"/>
  <c r="AY28" i="51" s="1"/>
  <c r="AJ26" i="50"/>
  <c r="AY26" i="51" s="1"/>
  <c r="BM12" i="50"/>
  <c r="AB41"/>
  <c r="R41"/>
  <c r="BL39"/>
  <c r="BN39" s="1"/>
  <c r="BJ37"/>
  <c r="BM37" i="51" s="1"/>
  <c r="AV37" i="50"/>
  <c r="BE37" i="51" s="1"/>
  <c r="AL37" i="50"/>
  <c r="AX37" s="1"/>
  <c r="BG37" i="51" s="1"/>
  <c r="AK37" i="50"/>
  <c r="BL35"/>
  <c r="BJ33"/>
  <c r="BM33" i="51" s="1"/>
  <c r="AV33" i="50"/>
  <c r="BE33" i="51" s="1"/>
  <c r="AL33" i="50"/>
  <c r="AX33" s="1"/>
  <c r="BG33" i="51" s="1"/>
  <c r="AK33" i="50"/>
  <c r="BL31"/>
  <c r="BJ29"/>
  <c r="BM29" i="51" s="1"/>
  <c r="AV29" i="50"/>
  <c r="BE29" i="51" s="1"/>
  <c r="AL29" i="50"/>
  <c r="AX29" s="1"/>
  <c r="BG29" i="51" s="1"/>
  <c r="AK29" i="50"/>
  <c r="AI27"/>
  <c r="AX27" i="51" s="1"/>
  <c r="BM22" i="50"/>
  <c r="AK21"/>
  <c r="AL20"/>
  <c r="BL13"/>
  <c r="AV30"/>
  <c r="BE30" i="51" s="1"/>
  <c r="X25" i="50"/>
  <c r="AK25"/>
  <c r="BM20"/>
  <c r="AJ20"/>
  <c r="AY20" i="51" s="1"/>
  <c r="BJ20" i="50"/>
  <c r="BM20" i="51" s="1"/>
  <c r="X19" i="50"/>
  <c r="AK19"/>
  <c r="BI19"/>
  <c r="X18"/>
  <c r="AL18"/>
  <c r="AX18" s="1"/>
  <c r="BG18" i="51" s="1"/>
  <c r="BJ18" i="50"/>
  <c r="BM18" i="51" s="1"/>
  <c r="AV17" i="50"/>
  <c r="BE17" i="51" s="1"/>
  <c r="BH16" i="50"/>
  <c r="BK16" i="51" s="1"/>
  <c r="BB15" i="50"/>
  <c r="BB41" s="1"/>
  <c r="BF15"/>
  <c r="AJ11"/>
  <c r="AY11" i="51" s="1"/>
  <c r="BL11" i="50"/>
  <c r="AV10"/>
  <c r="BE10" i="51" s="1"/>
  <c r="BH7" i="50"/>
  <c r="BK7" i="51" s="1"/>
  <c r="H41" i="50"/>
  <c r="AL40"/>
  <c r="AX40" s="1"/>
  <c r="BG40" i="51" s="1"/>
  <c r="BI38" i="50"/>
  <c r="AK38"/>
  <c r="AL36"/>
  <c r="AX36" s="1"/>
  <c r="BG36" i="51" s="1"/>
  <c r="BI34" i="50"/>
  <c r="AK34"/>
  <c r="AL32"/>
  <c r="AX32" s="1"/>
  <c r="BG32" i="51" s="1"/>
  <c r="BI30" i="50"/>
  <c r="AK30"/>
  <c r="AL28"/>
  <c r="AX28" s="1"/>
  <c r="BG28" i="51" s="1"/>
  <c r="AD27" i="50"/>
  <c r="AD41" s="1"/>
  <c r="AL26"/>
  <c r="AX26" s="1"/>
  <c r="BG26" i="51" s="1"/>
  <c r="BL23" i="50"/>
  <c r="AU15"/>
  <c r="BD15" i="51" s="1"/>
  <c r="AH15" i="50"/>
  <c r="AW15" i="51" s="1"/>
  <c r="AL14" i="50"/>
  <c r="AK7"/>
  <c r="AL6"/>
  <c r="BJ40"/>
  <c r="BM40" i="51" s="1"/>
  <c r="BI37" i="50"/>
  <c r="BL37" i="51" s="1"/>
  <c r="BJ36" i="50"/>
  <c r="BM36" i="51" s="1"/>
  <c r="BI33" i="50"/>
  <c r="BJ32"/>
  <c r="BM32" i="51" s="1"/>
  <c r="BI29" i="50"/>
  <c r="BJ28"/>
  <c r="BM28" i="51" s="1"/>
  <c r="BJ26" i="50"/>
  <c r="BM26" i="51" s="1"/>
  <c r="BL22" i="50"/>
  <c r="BM21"/>
  <c r="X20"/>
  <c r="BL18"/>
  <c r="BH18"/>
  <c r="BK18" i="51" s="1"/>
  <c r="BJ16" i="50"/>
  <c r="BM16" i="51" s="1"/>
  <c r="X16" i="50"/>
  <c r="AA15"/>
  <c r="O15"/>
  <c r="BJ14"/>
  <c r="BM14" i="51" s="1"/>
  <c r="X14" i="50"/>
  <c r="BL12"/>
  <c r="BM11"/>
  <c r="BI11"/>
  <c r="BJ10"/>
  <c r="BM10" i="51" s="1"/>
  <c r="X10" i="50"/>
  <c r="BH8"/>
  <c r="BK8" i="51" s="1"/>
  <c r="AV8" i="50"/>
  <c r="BE8" i="51" s="1"/>
  <c r="BI7" i="50"/>
  <c r="BJ6"/>
  <c r="BM6" i="51" s="1"/>
  <c r="X6" i="50"/>
  <c r="V41"/>
  <c r="BJ25"/>
  <c r="BM25" i="51" s="1"/>
  <c r="BJ24" i="50"/>
  <c r="BM24" i="51" s="1"/>
  <c r="BJ23" i="50"/>
  <c r="BM23" i="51" s="1"/>
  <c r="BI20" i="50"/>
  <c r="BL20" i="51" s="1"/>
  <c r="BJ19" i="50"/>
  <c r="BM19" i="51" s="1"/>
  <c r="BI16" i="50"/>
  <c r="BI14"/>
  <c r="BJ13"/>
  <c r="BM13" i="51" s="1"/>
  <c r="BI10" i="50"/>
  <c r="BL10" i="51" s="1"/>
  <c r="BJ9" i="50"/>
  <c r="BM9" i="51" s="1"/>
  <c r="BI6" i="50"/>
  <c r="BL6" i="51" s="1"/>
  <c r="W13" i="4"/>
  <c r="AJ13"/>
  <c r="AV13"/>
  <c r="N36" i="48"/>
  <c r="AJ36"/>
  <c r="X37"/>
  <c r="E41"/>
  <c r="K41"/>
  <c r="N18"/>
  <c r="N20"/>
  <c r="U1"/>
  <c r="H41"/>
  <c r="N19"/>
  <c r="N21"/>
  <c r="N6"/>
  <c r="N7"/>
  <c r="N8"/>
  <c r="N9"/>
  <c r="N10"/>
  <c r="N11"/>
  <c r="N12"/>
  <c r="N13"/>
  <c r="N14"/>
  <c r="N15"/>
  <c r="N16"/>
  <c r="N17"/>
  <c r="N22"/>
  <c r="N23"/>
  <c r="N24"/>
  <c r="N25"/>
  <c r="N26"/>
  <c r="N27"/>
  <c r="N28"/>
  <c r="N29"/>
  <c r="N30"/>
  <c r="N31"/>
  <c r="N32"/>
  <c r="N33"/>
  <c r="N34"/>
  <c r="N35"/>
  <c r="N38"/>
  <c r="N40"/>
  <c r="AA42"/>
  <c r="AG42" s="1"/>
  <c r="J39" i="34"/>
  <c r="I39"/>
  <c r="H39"/>
  <c r="G39"/>
  <c r="F39"/>
  <c r="E39"/>
  <c r="D39"/>
  <c r="C39"/>
  <c r="J37"/>
  <c r="I37"/>
  <c r="H37"/>
  <c r="G37"/>
  <c r="F37"/>
  <c r="E37"/>
  <c r="D37"/>
  <c r="C37"/>
  <c r="J34"/>
  <c r="I34"/>
  <c r="H34"/>
  <c r="G34"/>
  <c r="F34"/>
  <c r="E34"/>
  <c r="D34"/>
  <c r="C34"/>
  <c r="J25"/>
  <c r="I25"/>
  <c r="H25"/>
  <c r="G25"/>
  <c r="F25"/>
  <c r="E25"/>
  <c r="D25"/>
  <c r="C25"/>
  <c r="J12"/>
  <c r="I12"/>
  <c r="H12"/>
  <c r="G12"/>
  <c r="F12"/>
  <c r="E12"/>
  <c r="D12"/>
  <c r="C12"/>
  <c r="J38" i="33"/>
  <c r="I38"/>
  <c r="H38"/>
  <c r="G38"/>
  <c r="F38"/>
  <c r="E38"/>
  <c r="D38"/>
  <c r="C38"/>
  <c r="J33"/>
  <c r="I33"/>
  <c r="H33"/>
  <c r="G33"/>
  <c r="F33"/>
  <c r="E33"/>
  <c r="D33"/>
  <c r="C33"/>
  <c r="J23"/>
  <c r="I23"/>
  <c r="H23"/>
  <c r="G23"/>
  <c r="F23"/>
  <c r="E23"/>
  <c r="D23"/>
  <c r="C23"/>
  <c r="G38" i="31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G18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G10"/>
  <c r="F10"/>
  <c r="E10"/>
  <c r="D10"/>
  <c r="C10"/>
  <c r="G9"/>
  <c r="F9"/>
  <c r="E9"/>
  <c r="D9"/>
  <c r="C9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4"/>
  <c r="F4"/>
  <c r="E4"/>
  <c r="D4"/>
  <c r="C4"/>
  <c r="G39" i="30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BY17" i="52" l="1"/>
  <c r="BJ41" i="51"/>
  <c r="BY23" i="52"/>
  <c r="BY37"/>
  <c r="BY35"/>
  <c r="BY27"/>
  <c r="BY26"/>
  <c r="BY41"/>
  <c r="BJ13" i="4"/>
  <c r="BM13"/>
  <c r="AM10" i="50"/>
  <c r="BN40"/>
  <c r="BY40" i="52"/>
  <c r="BY31"/>
  <c r="BH41" i="50"/>
  <c r="BY18" i="52"/>
  <c r="BY19"/>
  <c r="AX13" i="4"/>
  <c r="BY36" i="52"/>
  <c r="BN25" i="50"/>
  <c r="AA41"/>
  <c r="BY22" i="52"/>
  <c r="BY12"/>
  <c r="BY20"/>
  <c r="AM22" i="50"/>
  <c r="BY28" i="52"/>
  <c r="BY8"/>
  <c r="AL13" i="4"/>
  <c r="BY13" i="52"/>
  <c r="BY32"/>
  <c r="E43"/>
  <c r="BY11"/>
  <c r="BY16"/>
  <c r="AU41" i="50"/>
  <c r="BD41" i="51" s="1"/>
  <c r="BY15" i="52"/>
  <c r="BO43"/>
  <c r="BP43" s="1"/>
  <c r="AY16" i="50"/>
  <c r="BH16" i="51" s="1"/>
  <c r="BY14" i="52"/>
  <c r="BY9"/>
  <c r="BY24"/>
  <c r="BY10"/>
  <c r="BY25"/>
  <c r="BY33"/>
  <c r="BY34"/>
  <c r="BY42"/>
  <c r="BN32" i="50"/>
  <c r="BH15"/>
  <c r="BK15" i="51" s="1"/>
  <c r="BI15"/>
  <c r="BK41"/>
  <c r="BK42"/>
  <c r="BN28" i="50"/>
  <c r="AT41"/>
  <c r="BC15" i="51"/>
  <c r="BN35" i="50"/>
  <c r="BN16"/>
  <c r="BN36"/>
  <c r="BB29" i="51"/>
  <c r="AM16" i="50"/>
  <c r="BN26"/>
  <c r="BA27" i="51"/>
  <c r="BN14" i="50"/>
  <c r="AM17"/>
  <c r="BB33" i="51"/>
  <c r="BB21"/>
  <c r="AZ15"/>
  <c r="AX41"/>
  <c r="AX42"/>
  <c r="BN18" i="50"/>
  <c r="BN19"/>
  <c r="AZ27" i="51"/>
  <c r="BK12" i="50"/>
  <c r="BN12" i="51" s="1"/>
  <c r="BK35" i="50"/>
  <c r="BN35" i="51" s="1"/>
  <c r="AM35" i="50"/>
  <c r="BN10"/>
  <c r="BN7"/>
  <c r="BN24"/>
  <c r="BN20"/>
  <c r="BK39"/>
  <c r="BN39" i="51" s="1"/>
  <c r="BN6" i="50"/>
  <c r="BN23"/>
  <c r="BK22"/>
  <c r="BN22" i="51" s="1"/>
  <c r="AM11" i="50"/>
  <c r="BN12"/>
  <c r="BN13"/>
  <c r="BN31"/>
  <c r="BN9"/>
  <c r="AM18"/>
  <c r="BN17"/>
  <c r="BB17" i="51"/>
  <c r="AY8" i="50"/>
  <c r="BH8" i="51" s="1"/>
  <c r="BF8"/>
  <c r="BK17" i="50"/>
  <c r="BN17" i="51" s="1"/>
  <c r="BL17"/>
  <c r="AV40"/>
  <c r="BB40"/>
  <c r="AV31"/>
  <c r="BB31"/>
  <c r="AV25"/>
  <c r="BB25"/>
  <c r="BB9"/>
  <c r="AV9"/>
  <c r="BK32" i="50"/>
  <c r="BN32" i="51" s="1"/>
  <c r="BL32"/>
  <c r="AV36"/>
  <c r="BB36"/>
  <c r="AY11" i="50"/>
  <c r="BH11" i="51" s="1"/>
  <c r="BF11"/>
  <c r="AV22"/>
  <c r="BB22"/>
  <c r="AV39"/>
  <c r="BB39"/>
  <c r="BA15"/>
  <c r="AU15"/>
  <c r="AT41"/>
  <c r="AT42"/>
  <c r="BK11" i="50"/>
  <c r="BN11" i="51" s="1"/>
  <c r="BL11"/>
  <c r="BK29" i="50"/>
  <c r="BN29" i="51" s="1"/>
  <c r="BL29"/>
  <c r="AY39" i="50"/>
  <c r="BH39" i="51" s="1"/>
  <c r="BF39"/>
  <c r="BB19"/>
  <c r="AV19"/>
  <c r="BB26"/>
  <c r="AV26"/>
  <c r="AV32"/>
  <c r="BB32"/>
  <c r="AY22" i="50"/>
  <c r="BH22" i="51" s="1"/>
  <c r="BG22"/>
  <c r="AV23"/>
  <c r="BB23"/>
  <c r="BB37"/>
  <c r="AV37"/>
  <c r="AV7"/>
  <c r="BB7"/>
  <c r="AM39" i="50"/>
  <c r="BK16"/>
  <c r="BN16" i="51" s="1"/>
  <c r="BL16"/>
  <c r="AV10"/>
  <c r="BB10"/>
  <c r="BK33" i="50"/>
  <c r="BN33" i="51" s="1"/>
  <c r="BL33"/>
  <c r="BK34" i="50"/>
  <c r="BN34" i="51" s="1"/>
  <c r="BL34"/>
  <c r="BK19" i="50"/>
  <c r="BN19" i="51" s="1"/>
  <c r="BL19"/>
  <c r="AV15"/>
  <c r="AV38"/>
  <c r="BB38"/>
  <c r="AV8"/>
  <c r="BB8"/>
  <c r="AV12"/>
  <c r="BB12"/>
  <c r="BK21" i="50"/>
  <c r="BN21" i="51" s="1"/>
  <c r="BL21"/>
  <c r="AV11"/>
  <c r="BB11"/>
  <c r="BK14" i="50"/>
  <c r="BN14" i="51" s="1"/>
  <c r="BL14"/>
  <c r="BB6"/>
  <c r="AV6"/>
  <c r="BK30" i="50"/>
  <c r="BN30" i="51" s="1"/>
  <c r="BL30"/>
  <c r="AV18"/>
  <c r="BB18"/>
  <c r="AV35"/>
  <c r="BB35"/>
  <c r="AY12" i="50"/>
  <c r="BH12" i="51" s="1"/>
  <c r="BG12"/>
  <c r="BB13"/>
  <c r="AV13"/>
  <c r="BK7" i="50"/>
  <c r="BN7" i="51" s="1"/>
  <c r="BL7"/>
  <c r="AV14"/>
  <c r="BB14"/>
  <c r="BB16"/>
  <c r="AV16"/>
  <c r="BB20"/>
  <c r="AV20"/>
  <c r="AY35" i="50"/>
  <c r="BH35" i="51" s="1"/>
  <c r="BF35"/>
  <c r="BK38" i="50"/>
  <c r="BN38" i="51" s="1"/>
  <c r="BL38"/>
  <c r="BB30"/>
  <c r="AV30"/>
  <c r="BB34"/>
  <c r="AV34"/>
  <c r="BK9" i="50"/>
  <c r="BN9" i="51" s="1"/>
  <c r="BL9"/>
  <c r="AV24"/>
  <c r="BB24"/>
  <c r="AV28"/>
  <c r="BB28"/>
  <c r="AY17" i="50"/>
  <c r="BH17" i="51" s="1"/>
  <c r="BF17"/>
  <c r="BK25" i="50"/>
  <c r="BN25" i="51" s="1"/>
  <c r="BN37" i="50"/>
  <c r="H43" i="52"/>
  <c r="BP29"/>
  <c r="BW29"/>
  <c r="BY29" s="1"/>
  <c r="BA43"/>
  <c r="BK43"/>
  <c r="BK6" i="50"/>
  <c r="BN6" i="51" s="1"/>
  <c r="AW7" i="50"/>
  <c r="BF7" i="51" s="1"/>
  <c r="AM7" i="50"/>
  <c r="AJ15"/>
  <c r="AY15" i="51" s="1"/>
  <c r="BL15" i="50"/>
  <c r="AM30"/>
  <c r="AW30"/>
  <c r="AW25"/>
  <c r="AM25"/>
  <c r="AW33"/>
  <c r="AM33"/>
  <c r="AW9"/>
  <c r="AM9"/>
  <c r="AM24"/>
  <c r="AW24"/>
  <c r="AW32"/>
  <c r="AM32"/>
  <c r="AX14"/>
  <c r="AM14"/>
  <c r="AW21"/>
  <c r="AM21"/>
  <c r="AW36"/>
  <c r="AM36"/>
  <c r="BL27"/>
  <c r="AK27"/>
  <c r="BI27"/>
  <c r="AJ27"/>
  <c r="AY27" i="51" s="1"/>
  <c r="AL15" i="50"/>
  <c r="AX15" s="1"/>
  <c r="BG15" i="51" s="1"/>
  <c r="BJ15" i="50"/>
  <c r="BM15" i="51" s="1"/>
  <c r="BM15" i="50"/>
  <c r="AX6"/>
  <c r="BG6" i="51" s="1"/>
  <c r="AM6" i="50"/>
  <c r="AM38"/>
  <c r="AW38"/>
  <c r="AX20"/>
  <c r="AM20"/>
  <c r="AW29"/>
  <c r="AM29"/>
  <c r="AW26"/>
  <c r="AM26"/>
  <c r="AW40"/>
  <c r="AM40"/>
  <c r="AW23"/>
  <c r="AM23"/>
  <c r="AM13"/>
  <c r="AW13"/>
  <c r="BK28"/>
  <c r="BN28" i="51" s="1"/>
  <c r="BI15" i="50"/>
  <c r="BK20"/>
  <c r="BN20" i="51" s="1"/>
  <c r="BK8" i="50"/>
  <c r="BK23"/>
  <c r="BN23" i="51" s="1"/>
  <c r="BN30" i="50"/>
  <c r="BK10"/>
  <c r="BN10" i="51" s="1"/>
  <c r="X41" i="50"/>
  <c r="BN22"/>
  <c r="BK18"/>
  <c r="BN18" i="51" s="1"/>
  <c r="AY31" i="50"/>
  <c r="BH31" i="51" s="1"/>
  <c r="BF41" i="50"/>
  <c r="BN11"/>
  <c r="BK31"/>
  <c r="BN31" i="51" s="1"/>
  <c r="AM8" i="50"/>
  <c r="BN8"/>
  <c r="BK24"/>
  <c r="BN24" i="51" s="1"/>
  <c r="BK36" i="50"/>
  <c r="BN36" i="51" s="1"/>
  <c r="BN21" i="50"/>
  <c r="BN29"/>
  <c r="BN33"/>
  <c r="W41"/>
  <c r="I41"/>
  <c r="AM34"/>
  <c r="AW34"/>
  <c r="BF34" i="51" s="1"/>
  <c r="AW19" i="50"/>
  <c r="AM19"/>
  <c r="AL27"/>
  <c r="AX27" s="1"/>
  <c r="BG27" i="51" s="1"/>
  <c r="BJ27" i="50"/>
  <c r="BM27" i="51" s="1"/>
  <c r="BM27" i="50"/>
  <c r="AW37"/>
  <c r="AM37"/>
  <c r="AV15"/>
  <c r="BE15" i="51" s="1"/>
  <c r="AW28" i="50"/>
  <c r="AM28"/>
  <c r="BK40"/>
  <c r="BN40" i="51" s="1"/>
  <c r="BK37" i="50"/>
  <c r="BN37" i="51" s="1"/>
  <c r="AM12" i="50"/>
  <c r="AY18"/>
  <c r="BH18" i="51" s="1"/>
  <c r="AM31" i="50"/>
  <c r="AH41"/>
  <c r="AZ41" i="51" s="1"/>
  <c r="BK26" i="50"/>
  <c r="BN26" i="51" s="1"/>
  <c r="BN34" i="50"/>
  <c r="BN38"/>
  <c r="BK13"/>
  <c r="BN13" i="51" s="1"/>
  <c r="AK15" i="50"/>
  <c r="N41" i="48"/>
  <c r="W41"/>
  <c r="Z40"/>
  <c r="Z18"/>
  <c r="Z9"/>
  <c r="AF41"/>
  <c r="Z20"/>
  <c r="AC41"/>
  <c r="AL6"/>
  <c r="AL8"/>
  <c r="AL10"/>
  <c r="AL12"/>
  <c r="AL14"/>
  <c r="AL16"/>
  <c r="AL19"/>
  <c r="AL18"/>
  <c r="AL22"/>
  <c r="AL24"/>
  <c r="AL26"/>
  <c r="AL28"/>
  <c r="AL30"/>
  <c r="AL32"/>
  <c r="AL34"/>
  <c r="AL36"/>
  <c r="AK36"/>
  <c r="AL38"/>
  <c r="AL40"/>
  <c r="AK40"/>
  <c r="Z14"/>
  <c r="Z6"/>
  <c r="Z35"/>
  <c r="Z31"/>
  <c r="Z27"/>
  <c r="Z23"/>
  <c r="Q41"/>
  <c r="X40"/>
  <c r="Z38"/>
  <c r="Z36"/>
  <c r="Y36"/>
  <c r="Z34"/>
  <c r="Z32"/>
  <c r="Z30"/>
  <c r="Z28"/>
  <c r="Z26"/>
  <c r="Z24"/>
  <c r="Z22"/>
  <c r="Z21"/>
  <c r="Z13"/>
  <c r="AJ39"/>
  <c r="Z12"/>
  <c r="AI41"/>
  <c r="AL7"/>
  <c r="AL9"/>
  <c r="AL11"/>
  <c r="AL13"/>
  <c r="AL15"/>
  <c r="AL17"/>
  <c r="AL21"/>
  <c r="AL20"/>
  <c r="AL23"/>
  <c r="AL25"/>
  <c r="AL27"/>
  <c r="AJ29"/>
  <c r="AL29"/>
  <c r="AL31"/>
  <c r="AL33"/>
  <c r="AL35"/>
  <c r="AL37"/>
  <c r="AK37"/>
  <c r="AL39"/>
  <c r="Z19"/>
  <c r="Z8"/>
  <c r="Z7"/>
  <c r="Z10"/>
  <c r="I1" i="26"/>
  <c r="BD42" i="51" l="1"/>
  <c r="AK41" i="50"/>
  <c r="AZ42" i="51" s="1"/>
  <c r="BX43" i="52"/>
  <c r="BI42" i="51"/>
  <c r="BI41"/>
  <c r="BC41"/>
  <c r="BC42"/>
  <c r="AJ41" i="50"/>
  <c r="AY41" i="51" s="1"/>
  <c r="BB27"/>
  <c r="BB15"/>
  <c r="AW42"/>
  <c r="AW41"/>
  <c r="AU42"/>
  <c r="BA41"/>
  <c r="AU41"/>
  <c r="AY40" i="50"/>
  <c r="BH40" i="51" s="1"/>
  <c r="BF40"/>
  <c r="AY29" i="50"/>
  <c r="BH29" i="51" s="1"/>
  <c r="BF29"/>
  <c r="BL8" i="50"/>
  <c r="BN8" i="51"/>
  <c r="AY36" i="50"/>
  <c r="BH36" i="51" s="1"/>
  <c r="BF36"/>
  <c r="BK15" i="50"/>
  <c r="BN15" i="51" s="1"/>
  <c r="BL15"/>
  <c r="AY21" i="50"/>
  <c r="BH21" i="51" s="1"/>
  <c r="BF21"/>
  <c r="AY32" i="50"/>
  <c r="BH32" i="51" s="1"/>
  <c r="BF32"/>
  <c r="AY9" i="50"/>
  <c r="BH9" i="51" s="1"/>
  <c r="BF9"/>
  <c r="AY25" i="50"/>
  <c r="BH25" i="51" s="1"/>
  <c r="BF25"/>
  <c r="AY28" i="50"/>
  <c r="BH28" i="51" s="1"/>
  <c r="BF28"/>
  <c r="AY19" i="50"/>
  <c r="BH19" i="51" s="1"/>
  <c r="BF19"/>
  <c r="AY37" i="50"/>
  <c r="BH37" i="51" s="1"/>
  <c r="BF37"/>
  <c r="AY13" i="50"/>
  <c r="BH13" i="51" s="1"/>
  <c r="BF13"/>
  <c r="AY38" i="50"/>
  <c r="BH38" i="51" s="1"/>
  <c r="BF38"/>
  <c r="BK27" i="50"/>
  <c r="BN27" i="51" s="1"/>
  <c r="BL27"/>
  <c r="AY14" i="50"/>
  <c r="BH14" i="51" s="1"/>
  <c r="BG14"/>
  <c r="AY33" i="50"/>
  <c r="BH33" i="51" s="1"/>
  <c r="BF33"/>
  <c r="AV41"/>
  <c r="AV42"/>
  <c r="AY23" i="50"/>
  <c r="BH23" i="51" s="1"/>
  <c r="BF23"/>
  <c r="AY26" i="50"/>
  <c r="BH26" i="51" s="1"/>
  <c r="BF26"/>
  <c r="AY20" i="50"/>
  <c r="BH20" i="51" s="1"/>
  <c r="BG20"/>
  <c r="AY24" i="50"/>
  <c r="BH24" i="51" s="1"/>
  <c r="BF24"/>
  <c r="AY30" i="50"/>
  <c r="BH30" i="51" s="1"/>
  <c r="BF30"/>
  <c r="BM43" i="52"/>
  <c r="BW43"/>
  <c r="BY43" s="1"/>
  <c r="AY34" i="50"/>
  <c r="BH34" i="51" s="1"/>
  <c r="BL41" i="50"/>
  <c r="BM41"/>
  <c r="AX41"/>
  <c r="AY6"/>
  <c r="BH6" i="51" s="1"/>
  <c r="AY7" i="50"/>
  <c r="BH7" i="51" s="1"/>
  <c r="AV41" i="50"/>
  <c r="AL41"/>
  <c r="BA42" i="51" s="1"/>
  <c r="BN27" i="50"/>
  <c r="AM15"/>
  <c r="AW15"/>
  <c r="AM27"/>
  <c r="AW27"/>
  <c r="BN15"/>
  <c r="AJ35" i="48"/>
  <c r="AJ31"/>
  <c r="AJ27"/>
  <c r="AJ23"/>
  <c r="AJ21"/>
  <c r="AJ17"/>
  <c r="AJ11"/>
  <c r="AJ9"/>
  <c r="AJ7"/>
  <c r="O41"/>
  <c r="AJ38"/>
  <c r="AK34"/>
  <c r="AJ34"/>
  <c r="AJ32"/>
  <c r="AK30"/>
  <c r="AJ30"/>
  <c r="AJ28"/>
  <c r="AK26"/>
  <c r="AJ26"/>
  <c r="AJ24"/>
  <c r="AK22"/>
  <c r="AJ22"/>
  <c r="AJ18"/>
  <c r="AJ19"/>
  <c r="AJ16"/>
  <c r="AJ14"/>
  <c r="AJ12"/>
  <c r="AJ10"/>
  <c r="AJ8"/>
  <c r="AA41"/>
  <c r="AJ6"/>
  <c r="AL41"/>
  <c r="X11"/>
  <c r="X16"/>
  <c r="X20"/>
  <c r="AD41"/>
  <c r="X17"/>
  <c r="X18"/>
  <c r="Y39"/>
  <c r="X39"/>
  <c r="Z11"/>
  <c r="Z16"/>
  <c r="Z17"/>
  <c r="Y37"/>
  <c r="AJ33"/>
  <c r="AJ25"/>
  <c r="AJ20"/>
  <c r="AJ15"/>
  <c r="AJ13"/>
  <c r="Y22"/>
  <c r="X22"/>
  <c r="Y24"/>
  <c r="X24"/>
  <c r="X26"/>
  <c r="Y28"/>
  <c r="X28"/>
  <c r="X30"/>
  <c r="X32"/>
  <c r="Y34"/>
  <c r="X34"/>
  <c r="Y38"/>
  <c r="X38"/>
  <c r="X23"/>
  <c r="X27"/>
  <c r="X31"/>
  <c r="X35"/>
  <c r="T41"/>
  <c r="X9"/>
  <c r="F41"/>
  <c r="Z15"/>
  <c r="AG41"/>
  <c r="Y40"/>
  <c r="U41"/>
  <c r="Z25"/>
  <c r="Z29"/>
  <c r="Z33"/>
  <c r="Z37"/>
  <c r="Z39"/>
  <c r="BE41" i="51" l="1"/>
  <c r="BE42"/>
  <c r="BB41"/>
  <c r="AY42"/>
  <c r="AM41" i="50"/>
  <c r="BB42" i="51" s="1"/>
  <c r="AY27" i="50"/>
  <c r="BH27" i="51" s="1"/>
  <c r="BF27"/>
  <c r="AY15" i="50"/>
  <c r="BH15" i="51" s="1"/>
  <c r="BF15"/>
  <c r="BJ41" i="50"/>
  <c r="BG41" i="51"/>
  <c r="BG42"/>
  <c r="BN41" i="50"/>
  <c r="AW41"/>
  <c r="X15" i="48"/>
  <c r="V41"/>
  <c r="AK39"/>
  <c r="Y18"/>
  <c r="Y19"/>
  <c r="AK10"/>
  <c r="AK14"/>
  <c r="Y10"/>
  <c r="AE41"/>
  <c r="Y20"/>
  <c r="Y11"/>
  <c r="AK8"/>
  <c r="AK12"/>
  <c r="AK16"/>
  <c r="AK18"/>
  <c r="AK7"/>
  <c r="AK11"/>
  <c r="AK15"/>
  <c r="AK21"/>
  <c r="AK23"/>
  <c r="AK31"/>
  <c r="G41"/>
  <c r="R41"/>
  <c r="J41"/>
  <c r="L37"/>
  <c r="M37"/>
  <c r="C41"/>
  <c r="L6"/>
  <c r="L21"/>
  <c r="L23"/>
  <c r="L22"/>
  <c r="AH41"/>
  <c r="AK24"/>
  <c r="AK28"/>
  <c r="AK32"/>
  <c r="AK38"/>
  <c r="X13"/>
  <c r="X10"/>
  <c r="Y12"/>
  <c r="X7"/>
  <c r="AK29"/>
  <c r="AB41"/>
  <c r="AK6"/>
  <c r="AK19"/>
  <c r="P41"/>
  <c r="Y6"/>
  <c r="Y7"/>
  <c r="AK9"/>
  <c r="AK13"/>
  <c r="AK17"/>
  <c r="AK20"/>
  <c r="AK27"/>
  <c r="AK35"/>
  <c r="L39"/>
  <c r="M39"/>
  <c r="L40"/>
  <c r="M40"/>
  <c r="L20"/>
  <c r="L9"/>
  <c r="L35"/>
  <c r="L27"/>
  <c r="L16"/>
  <c r="L8"/>
  <c r="L36"/>
  <c r="M36"/>
  <c r="L32"/>
  <c r="L28"/>
  <c r="L24"/>
  <c r="L7"/>
  <c r="AJ41"/>
  <c r="Y27"/>
  <c r="Y32"/>
  <c r="Y30"/>
  <c r="Y26"/>
  <c r="X21"/>
  <c r="X12"/>
  <c r="X33"/>
  <c r="X29"/>
  <c r="Y29"/>
  <c r="X25"/>
  <c r="X14"/>
  <c r="Y9"/>
  <c r="X19"/>
  <c r="X8"/>
  <c r="Z41"/>
  <c r="X6"/>
  <c r="AK33"/>
  <c r="AK25"/>
  <c r="AC23" i="24"/>
  <c r="Z23"/>
  <c r="W23"/>
  <c r="T23"/>
  <c r="Q23"/>
  <c r="N23"/>
  <c r="BD16" i="14"/>
  <c r="BA16"/>
  <c r="AS16"/>
  <c r="AT16"/>
  <c r="AR16"/>
  <c r="AO16"/>
  <c r="AG16"/>
  <c r="AH16"/>
  <c r="G16" i="21" s="1"/>
  <c r="AF16" i="14"/>
  <c r="AC16"/>
  <c r="Z16"/>
  <c r="U16"/>
  <c r="C16" i="21" s="1"/>
  <c r="V16" i="14"/>
  <c r="T16"/>
  <c r="Q16"/>
  <c r="N16"/>
  <c r="K16"/>
  <c r="H16"/>
  <c r="E16"/>
  <c r="BD16" i="12"/>
  <c r="BA16"/>
  <c r="AS16"/>
  <c r="AT16"/>
  <c r="AR16"/>
  <c r="AO16"/>
  <c r="AG16"/>
  <c r="AH16"/>
  <c r="G16" i="18" s="1"/>
  <c r="AF16" i="12"/>
  <c r="AC16"/>
  <c r="Z16"/>
  <c r="U16"/>
  <c r="C16" i="18" s="1"/>
  <c r="V16" i="12"/>
  <c r="T16"/>
  <c r="Q16"/>
  <c r="N16"/>
  <c r="K16"/>
  <c r="H16"/>
  <c r="E16"/>
  <c r="BE16" i="4"/>
  <c r="BF16"/>
  <c r="S16" i="16" s="1"/>
  <c r="BD16" i="4"/>
  <c r="BA16"/>
  <c r="AT16"/>
  <c r="AR16"/>
  <c r="AO16"/>
  <c r="AG16"/>
  <c r="AH16"/>
  <c r="G16" i="16" s="1"/>
  <c r="AF16" i="4"/>
  <c r="AC16"/>
  <c r="Z16"/>
  <c r="U16"/>
  <c r="C16" i="16" s="1"/>
  <c r="V16" i="4"/>
  <c r="T16"/>
  <c r="Q16"/>
  <c r="N16"/>
  <c r="H16"/>
  <c r="E16"/>
  <c r="P40" i="27"/>
  <c r="O40"/>
  <c r="M40"/>
  <c r="L40"/>
  <c r="J40"/>
  <c r="I40"/>
  <c r="G40"/>
  <c r="F40"/>
  <c r="D40"/>
  <c r="C40"/>
  <c r="Q39"/>
  <c r="N39"/>
  <c r="K39"/>
  <c r="H39"/>
  <c r="E39"/>
  <c r="Q38"/>
  <c r="N38"/>
  <c r="K38"/>
  <c r="H38"/>
  <c r="E38"/>
  <c r="Q37"/>
  <c r="K37"/>
  <c r="H37"/>
  <c r="E37"/>
  <c r="Q36"/>
  <c r="N36"/>
  <c r="K36"/>
  <c r="H36"/>
  <c r="E36"/>
  <c r="N35"/>
  <c r="K35"/>
  <c r="H35"/>
  <c r="E35"/>
  <c r="Q34"/>
  <c r="N34"/>
  <c r="K34"/>
  <c r="H34"/>
  <c r="Q33"/>
  <c r="N33"/>
  <c r="K33"/>
  <c r="H33"/>
  <c r="E33"/>
  <c r="Q32"/>
  <c r="N32"/>
  <c r="K32"/>
  <c r="H32"/>
  <c r="E32"/>
  <c r="Q31"/>
  <c r="N31"/>
  <c r="K31"/>
  <c r="H31"/>
  <c r="E31"/>
  <c r="Q30"/>
  <c r="N30"/>
  <c r="K30"/>
  <c r="H30"/>
  <c r="E30"/>
  <c r="Q29"/>
  <c r="N29"/>
  <c r="K29"/>
  <c r="H29"/>
  <c r="E29"/>
  <c r="Q28"/>
  <c r="N28"/>
  <c r="K28"/>
  <c r="Q27"/>
  <c r="N27"/>
  <c r="K27"/>
  <c r="H27"/>
  <c r="E27"/>
  <c r="H26"/>
  <c r="E26"/>
  <c r="Q25"/>
  <c r="N25"/>
  <c r="K25"/>
  <c r="H25"/>
  <c r="E25"/>
  <c r="N23"/>
  <c r="K23"/>
  <c r="H23"/>
  <c r="E23"/>
  <c r="N22"/>
  <c r="K22"/>
  <c r="H22"/>
  <c r="E22"/>
  <c r="Q21"/>
  <c r="N21"/>
  <c r="K21"/>
  <c r="H21"/>
  <c r="E21"/>
  <c r="Q19"/>
  <c r="N19"/>
  <c r="K19"/>
  <c r="H19"/>
  <c r="E19"/>
  <c r="Q17"/>
  <c r="N17"/>
  <c r="K17"/>
  <c r="H17"/>
  <c r="E17"/>
  <c r="Q14"/>
  <c r="N14"/>
  <c r="K14"/>
  <c r="H14"/>
  <c r="E14"/>
  <c r="Q13"/>
  <c r="N13"/>
  <c r="K13"/>
  <c r="H13"/>
  <c r="Q11"/>
  <c r="K11"/>
  <c r="H11"/>
  <c r="Q10"/>
  <c r="N10"/>
  <c r="K10"/>
  <c r="H10"/>
  <c r="E10"/>
  <c r="Q9"/>
  <c r="N9"/>
  <c r="K9"/>
  <c r="H9"/>
  <c r="E9"/>
  <c r="N8"/>
  <c r="K8"/>
  <c r="H8"/>
  <c r="E8"/>
  <c r="H7"/>
  <c r="E7"/>
  <c r="Q6"/>
  <c r="N6"/>
  <c r="K6"/>
  <c r="H6"/>
  <c r="E6"/>
  <c r="Q5"/>
  <c r="N5"/>
  <c r="K5"/>
  <c r="H5"/>
  <c r="E5"/>
  <c r="AU16" i="12" l="1"/>
  <c r="N16" i="18" s="1"/>
  <c r="BG16" i="4"/>
  <c r="T16" i="16" s="1"/>
  <c r="AU16" i="4"/>
  <c r="N16" i="16" s="1"/>
  <c r="AI16" i="4"/>
  <c r="H16" i="16" s="1"/>
  <c r="AY41" i="50"/>
  <c r="BH42" i="51" s="1"/>
  <c r="BI41" i="50"/>
  <c r="BF41" i="51"/>
  <c r="BF42"/>
  <c r="BM42"/>
  <c r="BM41"/>
  <c r="AU16" i="14"/>
  <c r="AI16" i="12"/>
  <c r="H16" i="18" s="1"/>
  <c r="W16" i="12"/>
  <c r="E16" i="18" s="1"/>
  <c r="W16" i="4"/>
  <c r="E16" i="16" s="1"/>
  <c r="W16" i="14"/>
  <c r="E16" i="21" s="1"/>
  <c r="AI16" i="14"/>
  <c r="H16" i="21" s="1"/>
  <c r="N16"/>
  <c r="M16"/>
  <c r="L16"/>
  <c r="F15" i="37"/>
  <c r="F16" i="21"/>
  <c r="D15" i="37"/>
  <c r="C15"/>
  <c r="D16" i="21"/>
  <c r="AK16" i="14"/>
  <c r="J16" i="21" s="1"/>
  <c r="AJ16" i="14"/>
  <c r="AW16"/>
  <c r="P16" i="21" s="1"/>
  <c r="AV16" i="14"/>
  <c r="M16" i="18"/>
  <c r="L16"/>
  <c r="F15" i="36"/>
  <c r="F16" i="18"/>
  <c r="D15" i="36"/>
  <c r="C15"/>
  <c r="D16" i="18"/>
  <c r="AK16" i="12"/>
  <c r="AJ16"/>
  <c r="AW16"/>
  <c r="P16" i="18" s="1"/>
  <c r="AV16" i="12"/>
  <c r="R16" i="16"/>
  <c r="H15" i="35"/>
  <c r="V16" i="16"/>
  <c r="M16"/>
  <c r="I15" i="35"/>
  <c r="U16" i="16"/>
  <c r="L16"/>
  <c r="F15" i="35"/>
  <c r="F16" i="16"/>
  <c r="D15" i="35"/>
  <c r="D16" i="16"/>
  <c r="C15" i="35"/>
  <c r="AK16" i="4"/>
  <c r="J16" i="16" s="1"/>
  <c r="AJ16" i="4"/>
  <c r="AW16"/>
  <c r="P16" i="16" s="1"/>
  <c r="AV16" i="4"/>
  <c r="Y35" i="48"/>
  <c r="S41"/>
  <c r="L13"/>
  <c r="X41"/>
  <c r="M7"/>
  <c r="M13"/>
  <c r="M28"/>
  <c r="M8"/>
  <c r="M27"/>
  <c r="M9"/>
  <c r="M25"/>
  <c r="Y23"/>
  <c r="Y15"/>
  <c r="Y21"/>
  <c r="Y33"/>
  <c r="M19"/>
  <c r="M26"/>
  <c r="M34"/>
  <c r="M12"/>
  <c r="M31"/>
  <c r="M17"/>
  <c r="D41"/>
  <c r="M6"/>
  <c r="M14"/>
  <c r="I41"/>
  <c r="L18"/>
  <c r="L10"/>
  <c r="L33"/>
  <c r="Y14"/>
  <c r="L15"/>
  <c r="L30"/>
  <c r="L38"/>
  <c r="L11"/>
  <c r="L29"/>
  <c r="M18"/>
  <c r="M24"/>
  <c r="M32"/>
  <c r="M16"/>
  <c r="M35"/>
  <c r="M20"/>
  <c r="M10"/>
  <c r="M33"/>
  <c r="AK41"/>
  <c r="Y31"/>
  <c r="Y25"/>
  <c r="M15"/>
  <c r="M22"/>
  <c r="M30"/>
  <c r="M38"/>
  <c r="M23"/>
  <c r="M11"/>
  <c r="M21"/>
  <c r="M29"/>
  <c r="L25"/>
  <c r="L19"/>
  <c r="L26"/>
  <c r="L34"/>
  <c r="L12"/>
  <c r="L31"/>
  <c r="L17"/>
  <c r="L14"/>
  <c r="Y13"/>
  <c r="Y16"/>
  <c r="Y17"/>
  <c r="Y8"/>
  <c r="N40" i="27"/>
  <c r="Q40"/>
  <c r="K40"/>
  <c r="H40"/>
  <c r="E40"/>
  <c r="W16" i="16" l="1"/>
  <c r="BH41" i="51"/>
  <c r="BK41" i="50"/>
  <c r="BL41" i="51"/>
  <c r="BL42"/>
  <c r="O16" i="21"/>
  <c r="G15" i="37"/>
  <c r="AX16" i="14"/>
  <c r="Q16" i="21" s="1"/>
  <c r="I16"/>
  <c r="E15" i="37"/>
  <c r="AL16" i="14"/>
  <c r="K16" i="21" s="1"/>
  <c r="AX16" i="12"/>
  <c r="Q16" i="18" s="1"/>
  <c r="O16"/>
  <c r="G15" i="36"/>
  <c r="I16" i="18"/>
  <c r="E15" i="36"/>
  <c r="AL16" i="12"/>
  <c r="K16" i="18" s="1"/>
  <c r="J16"/>
  <c r="O16" i="16"/>
  <c r="G15" i="35"/>
  <c r="AX16" i="4"/>
  <c r="Q16" i="16" s="1"/>
  <c r="I16"/>
  <c r="E15" i="35"/>
  <c r="AL16" i="4"/>
  <c r="K16" i="16" s="1"/>
  <c r="M41" i="48"/>
  <c r="L41"/>
  <c r="Y41"/>
  <c r="BE29" i="4"/>
  <c r="BF29"/>
  <c r="BA29"/>
  <c r="AS29"/>
  <c r="AT29"/>
  <c r="AR29"/>
  <c r="AO29"/>
  <c r="AG29"/>
  <c r="AH29"/>
  <c r="G29" i="16" s="1"/>
  <c r="AF29" i="4"/>
  <c r="AC29"/>
  <c r="U29"/>
  <c r="V29"/>
  <c r="T29"/>
  <c r="Q29"/>
  <c r="N29"/>
  <c r="K29"/>
  <c r="H29"/>
  <c r="E29"/>
  <c r="BN41" i="51" l="1"/>
  <c r="BN42"/>
  <c r="AI29" i="4"/>
  <c r="H29" i="16" s="1"/>
  <c r="BG29" i="4"/>
  <c r="T29" i="16" s="1"/>
  <c r="S29"/>
  <c r="R29"/>
  <c r="H28" i="35"/>
  <c r="AU29" i="4"/>
  <c r="V29" i="16"/>
  <c r="M29"/>
  <c r="I28" i="35"/>
  <c r="U29" i="16"/>
  <c r="L29"/>
  <c r="F28" i="35"/>
  <c r="F29" i="16"/>
  <c r="D28" i="35"/>
  <c r="AW29" i="4"/>
  <c r="P29" i="16" s="1"/>
  <c r="D29"/>
  <c r="C28" i="35"/>
  <c r="W29" i="4"/>
  <c r="E29" i="16" s="1"/>
  <c r="C29"/>
  <c r="AK29" i="4"/>
  <c r="J29" i="16" s="1"/>
  <c r="BH29" i="4"/>
  <c r="AJ29"/>
  <c r="AV29"/>
  <c r="BI29"/>
  <c r="W29" i="16" l="1"/>
  <c r="N29"/>
  <c r="BJ29" i="4"/>
  <c r="Z29" i="16" s="1"/>
  <c r="Y29"/>
  <c r="AX29" i="4"/>
  <c r="Q29" i="16" s="1"/>
  <c r="O29"/>
  <c r="G28" i="35"/>
  <c r="AL29" i="4"/>
  <c r="K29" i="16" s="1"/>
  <c r="I29"/>
  <c r="E28" i="35"/>
  <c r="X29" i="16"/>
  <c r="J28" i="35"/>
  <c r="Q39" i="26"/>
  <c r="Q38"/>
  <c r="Q37"/>
  <c r="Q36"/>
  <c r="Q35"/>
  <c r="Q34"/>
  <c r="Q33"/>
  <c r="G31" i="29"/>
  <c r="G30"/>
  <c r="G29"/>
  <c r="G28"/>
  <c r="Q28" i="26"/>
  <c r="Q27"/>
  <c r="Q26"/>
  <c r="G24" i="29"/>
  <c r="G23"/>
  <c r="G22"/>
  <c r="G21"/>
  <c r="Q21" i="26"/>
  <c r="Q20"/>
  <c r="G18" i="29"/>
  <c r="G17"/>
  <c r="G16"/>
  <c r="G15"/>
  <c r="G14"/>
  <c r="Q14" i="26"/>
  <c r="Q13"/>
  <c r="Q12"/>
  <c r="G10" i="29"/>
  <c r="G9"/>
  <c r="Q9" i="26"/>
  <c r="Q8"/>
  <c r="G6" i="29"/>
  <c r="Q6" i="26"/>
  <c r="G4" i="29"/>
  <c r="N39" i="26"/>
  <c r="N38"/>
  <c r="N37"/>
  <c r="N36"/>
  <c r="N35"/>
  <c r="N34"/>
  <c r="N33"/>
  <c r="N32"/>
  <c r="F30" i="29"/>
  <c r="F30" i="30" s="1"/>
  <c r="N30" i="26"/>
  <c r="N29"/>
  <c r="N28"/>
  <c r="N27"/>
  <c r="N26"/>
  <c r="N25"/>
  <c r="N24"/>
  <c r="N23"/>
  <c r="N22"/>
  <c r="N21"/>
  <c r="N20"/>
  <c r="N19"/>
  <c r="N18"/>
  <c r="N17"/>
  <c r="N16"/>
  <c r="N14"/>
  <c r="N13"/>
  <c r="N12"/>
  <c r="F10" i="29"/>
  <c r="F10" i="30" s="1"/>
  <c r="N10" i="26"/>
  <c r="N9"/>
  <c r="N8"/>
  <c r="N7"/>
  <c r="N6"/>
  <c r="N5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E18" i="29"/>
  <c r="E18" i="30" s="1"/>
  <c r="K18" i="26"/>
  <c r="K17"/>
  <c r="K16"/>
  <c r="K14"/>
  <c r="K13"/>
  <c r="K12"/>
  <c r="K11"/>
  <c r="E47" i="28" s="1"/>
  <c r="K10" i="26"/>
  <c r="K9"/>
  <c r="K8"/>
  <c r="K7"/>
  <c r="K6"/>
  <c r="K5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13"/>
  <c r="H12"/>
  <c r="H11"/>
  <c r="H10"/>
  <c r="H9"/>
  <c r="H8"/>
  <c r="H7"/>
  <c r="H6"/>
  <c r="H5"/>
  <c r="D40"/>
  <c r="F40"/>
  <c r="G40"/>
  <c r="I40"/>
  <c r="J40"/>
  <c r="L40"/>
  <c r="M40"/>
  <c r="O40"/>
  <c r="P40"/>
  <c r="E6"/>
  <c r="E7"/>
  <c r="E8"/>
  <c r="E9"/>
  <c r="E10"/>
  <c r="E11"/>
  <c r="E12"/>
  <c r="E13"/>
  <c r="E14"/>
  <c r="E16"/>
  <c r="E17"/>
  <c r="E18"/>
  <c r="E19"/>
  <c r="E20"/>
  <c r="E21"/>
  <c r="E22"/>
  <c r="E23"/>
  <c r="E24"/>
  <c r="E25"/>
  <c r="E26"/>
  <c r="E27"/>
  <c r="C27" i="29"/>
  <c r="C27" i="30" s="1"/>
  <c r="E29" i="26"/>
  <c r="E30"/>
  <c r="E31"/>
  <c r="E32"/>
  <c r="E33"/>
  <c r="E34"/>
  <c r="E35"/>
  <c r="E36"/>
  <c r="E37"/>
  <c r="E38"/>
  <c r="E39"/>
  <c r="E5"/>
  <c r="C34" i="29" l="1"/>
  <c r="C34" i="30" s="1"/>
  <c r="C71" i="28"/>
  <c r="C26" i="29"/>
  <c r="C26" i="30" s="1"/>
  <c r="C63" i="28"/>
  <c r="C18" i="29"/>
  <c r="C18" i="30" s="1"/>
  <c r="C55" i="28"/>
  <c r="C9" i="29"/>
  <c r="C9" i="30" s="1"/>
  <c r="C46" i="28"/>
  <c r="C5" i="29"/>
  <c r="C5" i="30" s="1"/>
  <c r="C42" i="28"/>
  <c r="D6" i="29"/>
  <c r="D6" i="30" s="1"/>
  <c r="D43" i="28"/>
  <c r="F15" i="29"/>
  <c r="F15" i="30" s="1"/>
  <c r="F52" i="28"/>
  <c r="F23" i="29"/>
  <c r="F23" i="30" s="1"/>
  <c r="F60" i="28"/>
  <c r="F27" i="29"/>
  <c r="F27" i="30" s="1"/>
  <c r="F64" i="28"/>
  <c r="F31" i="29"/>
  <c r="F31" i="30" s="1"/>
  <c r="F68" i="28"/>
  <c r="F35" i="29"/>
  <c r="F35" i="30" s="1"/>
  <c r="F72" i="28"/>
  <c r="G8" i="29"/>
  <c r="G45" i="28"/>
  <c r="G20" i="29"/>
  <c r="G57" i="28"/>
  <c r="G32" i="29"/>
  <c r="G69" i="28"/>
  <c r="C15" i="29"/>
  <c r="C15" i="30" s="1"/>
  <c r="C52" i="28"/>
  <c r="D5" i="29"/>
  <c r="D5" i="30" s="1"/>
  <c r="D42" i="28"/>
  <c r="D18" i="29"/>
  <c r="D18" i="30" s="1"/>
  <c r="D55" i="28"/>
  <c r="D26" i="29"/>
  <c r="D26" i="30" s="1"/>
  <c r="D63" i="28"/>
  <c r="D34" i="29"/>
  <c r="D34" i="30" s="1"/>
  <c r="D71" i="28"/>
  <c r="E11" i="29"/>
  <c r="E11" i="30" s="1"/>
  <c r="E48" i="28"/>
  <c r="E32" i="29"/>
  <c r="E32" i="30" s="1"/>
  <c r="E69" i="28"/>
  <c r="F34" i="29"/>
  <c r="F34" i="30" s="1"/>
  <c r="F71" i="28"/>
  <c r="F38" i="29"/>
  <c r="F38" i="30" s="1"/>
  <c r="F75" i="28"/>
  <c r="G7" i="29"/>
  <c r="G44" i="28"/>
  <c r="G19" i="29"/>
  <c r="G56" i="28"/>
  <c r="G27" i="29"/>
  <c r="G64" i="28"/>
  <c r="G35" i="29"/>
  <c r="G72" i="28"/>
  <c r="C36" i="29"/>
  <c r="C36" i="30" s="1"/>
  <c r="C73" i="28"/>
  <c r="C32" i="29"/>
  <c r="C32" i="30" s="1"/>
  <c r="C69" i="28"/>
  <c r="C28" i="29"/>
  <c r="C28" i="30" s="1"/>
  <c r="C65" i="28"/>
  <c r="C24" i="29"/>
  <c r="C24" i="30" s="1"/>
  <c r="C61" i="28"/>
  <c r="C20" i="29"/>
  <c r="C20" i="30" s="1"/>
  <c r="C57" i="28"/>
  <c r="C16" i="29"/>
  <c r="C16" i="30" s="1"/>
  <c r="C53" i="28"/>
  <c r="C11" i="29"/>
  <c r="C11" i="30" s="1"/>
  <c r="C48" i="28"/>
  <c r="C7" i="29"/>
  <c r="C7" i="30" s="1"/>
  <c r="C44" i="28"/>
  <c r="D4" i="29"/>
  <c r="D4" i="30" s="1"/>
  <c r="D41" i="28"/>
  <c r="D8" i="29"/>
  <c r="D8" i="30" s="1"/>
  <c r="D45" i="28"/>
  <c r="D12" i="29"/>
  <c r="D12" i="30" s="1"/>
  <c r="D49" i="28"/>
  <c r="D17" i="29"/>
  <c r="D17" i="30" s="1"/>
  <c r="D54" i="28"/>
  <c r="D21" i="29"/>
  <c r="D21" i="30" s="1"/>
  <c r="D58" i="28"/>
  <c r="D25" i="29"/>
  <c r="D25" i="30" s="1"/>
  <c r="D62" i="28"/>
  <c r="D29" i="29"/>
  <c r="D29" i="30" s="1"/>
  <c r="D66" i="28"/>
  <c r="D33" i="29"/>
  <c r="D33" i="30" s="1"/>
  <c r="D70" i="28"/>
  <c r="D37" i="29"/>
  <c r="D37" i="30" s="1"/>
  <c r="D74" i="28"/>
  <c r="E6" i="29"/>
  <c r="E6" i="30" s="1"/>
  <c r="E43" i="28"/>
  <c r="E15" i="29"/>
  <c r="E15" i="30" s="1"/>
  <c r="E52" i="28"/>
  <c r="E19" i="29"/>
  <c r="E19" i="30" s="1"/>
  <c r="E56" i="28"/>
  <c r="E23" i="29"/>
  <c r="E23" i="30" s="1"/>
  <c r="E60" i="28"/>
  <c r="E27" i="29"/>
  <c r="E27" i="30" s="1"/>
  <c r="E64" i="28"/>
  <c r="E31" i="29"/>
  <c r="E31" i="30" s="1"/>
  <c r="E68" i="28"/>
  <c r="E35" i="29"/>
  <c r="E35" i="30" s="1"/>
  <c r="E72" i="28"/>
  <c r="F4" i="29"/>
  <c r="F4" i="30" s="1"/>
  <c r="F41" i="28"/>
  <c r="F8" i="29"/>
  <c r="F8" i="30" s="1"/>
  <c r="F45" i="28"/>
  <c r="F12" i="29"/>
  <c r="F12" i="30" s="1"/>
  <c r="F49" i="28"/>
  <c r="F17" i="29"/>
  <c r="F17" i="30" s="1"/>
  <c r="F54" i="28"/>
  <c r="F21" i="29"/>
  <c r="F21" i="30" s="1"/>
  <c r="F58" i="28"/>
  <c r="F25" i="29"/>
  <c r="F25" i="30" s="1"/>
  <c r="F62" i="28"/>
  <c r="F29" i="29"/>
  <c r="F29" i="30" s="1"/>
  <c r="F66" i="28"/>
  <c r="F33" i="29"/>
  <c r="F33" i="30" s="1"/>
  <c r="F70" i="28"/>
  <c r="F37" i="29"/>
  <c r="F37" i="30" s="1"/>
  <c r="F74" i="28"/>
  <c r="G26" i="29"/>
  <c r="G63" i="28"/>
  <c r="G34" i="29"/>
  <c r="G71" i="28"/>
  <c r="G38" i="29"/>
  <c r="G75" i="28"/>
  <c r="C38" i="29"/>
  <c r="C38" i="30" s="1"/>
  <c r="C75" i="28"/>
  <c r="C30" i="29"/>
  <c r="C30" i="30" s="1"/>
  <c r="C67" i="28"/>
  <c r="C22" i="29"/>
  <c r="C22" i="30" s="1"/>
  <c r="C59" i="28"/>
  <c r="C13" i="29"/>
  <c r="C13" i="30" s="1"/>
  <c r="C50" i="28"/>
  <c r="D10" i="29"/>
  <c r="D10" i="30" s="1"/>
  <c r="D47" i="28"/>
  <c r="D15" i="29"/>
  <c r="D15" i="30" s="1"/>
  <c r="D52" i="28"/>
  <c r="D19" i="29"/>
  <c r="D19" i="30" s="1"/>
  <c r="D56" i="28"/>
  <c r="D23" i="29"/>
  <c r="D23" i="30" s="1"/>
  <c r="D60" i="28"/>
  <c r="D27" i="29"/>
  <c r="D27" i="30" s="1"/>
  <c r="D64" i="28"/>
  <c r="D31" i="29"/>
  <c r="D31" i="30" s="1"/>
  <c r="D68" i="28"/>
  <c r="D35" i="29"/>
  <c r="D35" i="30" s="1"/>
  <c r="D72" i="28"/>
  <c r="E4" i="29"/>
  <c r="E4" i="30" s="1"/>
  <c r="E41" i="28"/>
  <c r="E8" i="29"/>
  <c r="E8" i="30" s="1"/>
  <c r="E45" i="28"/>
  <c r="E12" i="29"/>
  <c r="E12" i="30" s="1"/>
  <c r="E49" i="28"/>
  <c r="E17" i="29"/>
  <c r="E17" i="30" s="1"/>
  <c r="E54" i="28"/>
  <c r="E21" i="29"/>
  <c r="E21" i="30" s="1"/>
  <c r="E58" i="28"/>
  <c r="E25" i="29"/>
  <c r="E25" i="30" s="1"/>
  <c r="E62" i="28"/>
  <c r="E29" i="29"/>
  <c r="E29" i="30" s="1"/>
  <c r="E66" i="28"/>
  <c r="E33" i="29"/>
  <c r="E33" i="30" s="1"/>
  <c r="E70" i="28"/>
  <c r="E37" i="29"/>
  <c r="E37" i="30" s="1"/>
  <c r="E74" i="28"/>
  <c r="F6" i="29"/>
  <c r="F6" i="30" s="1"/>
  <c r="F43" i="28"/>
  <c r="F19" i="29"/>
  <c r="F19" i="30" s="1"/>
  <c r="F56" i="28"/>
  <c r="G12" i="29"/>
  <c r="G49" i="28"/>
  <c r="G36" i="29"/>
  <c r="G73" i="28"/>
  <c r="C4" i="29"/>
  <c r="C4" i="30" s="1"/>
  <c r="C41" i="28"/>
  <c r="C35" i="29"/>
  <c r="C35" i="30" s="1"/>
  <c r="C72" i="28"/>
  <c r="C31" i="29"/>
  <c r="C31" i="30" s="1"/>
  <c r="C68" i="28"/>
  <c r="C23" i="29"/>
  <c r="C23" i="30" s="1"/>
  <c r="C60" i="28"/>
  <c r="C19" i="29"/>
  <c r="C19" i="30" s="1"/>
  <c r="C56" i="28"/>
  <c r="C10" i="29"/>
  <c r="C10" i="30" s="1"/>
  <c r="C47" i="28"/>
  <c r="C6" i="29"/>
  <c r="C6" i="30" s="1"/>
  <c r="C43" i="28"/>
  <c r="D9" i="29"/>
  <c r="D9" i="30" s="1"/>
  <c r="D46" i="28"/>
  <c r="D13" i="29"/>
  <c r="D13" i="30" s="1"/>
  <c r="D50" i="28"/>
  <c r="D22" i="29"/>
  <c r="D22" i="30" s="1"/>
  <c r="D59" i="28"/>
  <c r="D30" i="29"/>
  <c r="D30" i="30" s="1"/>
  <c r="D67" i="28"/>
  <c r="D38" i="29"/>
  <c r="D38" i="30" s="1"/>
  <c r="D75" i="28"/>
  <c r="E7" i="29"/>
  <c r="E7" i="30" s="1"/>
  <c r="E44" i="28"/>
  <c r="E16" i="29"/>
  <c r="E16" i="30" s="1"/>
  <c r="E53" i="28"/>
  <c r="E20" i="29"/>
  <c r="E20" i="30" s="1"/>
  <c r="E57" i="28"/>
  <c r="E24" i="29"/>
  <c r="E24" i="30" s="1"/>
  <c r="E61" i="28"/>
  <c r="E28" i="29"/>
  <c r="E28" i="30" s="1"/>
  <c r="E65" i="28"/>
  <c r="E36" i="29"/>
  <c r="E36" i="30" s="1"/>
  <c r="E73" i="28"/>
  <c r="F5" i="29"/>
  <c r="F5" i="30" s="1"/>
  <c r="F42" i="28"/>
  <c r="F9" i="29"/>
  <c r="F9" i="30" s="1"/>
  <c r="F46" i="28"/>
  <c r="F13" i="29"/>
  <c r="F13" i="30" s="1"/>
  <c r="F50" i="28"/>
  <c r="F18" i="29"/>
  <c r="F18" i="30" s="1"/>
  <c r="F55" i="28"/>
  <c r="F22" i="29"/>
  <c r="F22" i="30" s="1"/>
  <c r="F59" i="28"/>
  <c r="F26" i="29"/>
  <c r="F26" i="30" s="1"/>
  <c r="F63" i="28"/>
  <c r="G11" i="29"/>
  <c r="G48" i="28"/>
  <c r="C37" i="29"/>
  <c r="C37" i="30" s="1"/>
  <c r="C74" i="28"/>
  <c r="C33" i="29"/>
  <c r="C33" i="30" s="1"/>
  <c r="C70" i="28"/>
  <c r="C29" i="29"/>
  <c r="C29" i="30" s="1"/>
  <c r="C66" i="28"/>
  <c r="C25" i="29"/>
  <c r="C25" i="30" s="1"/>
  <c r="C62" i="28"/>
  <c r="C21" i="29"/>
  <c r="C21" i="30" s="1"/>
  <c r="C58" i="28"/>
  <c r="C17" i="29"/>
  <c r="C17" i="30" s="1"/>
  <c r="C54" i="28"/>
  <c r="C12" i="29"/>
  <c r="C12" i="30" s="1"/>
  <c r="C49" i="28"/>
  <c r="C8" i="29"/>
  <c r="C8" i="30" s="1"/>
  <c r="C45" i="28"/>
  <c r="D7" i="29"/>
  <c r="D7" i="30" s="1"/>
  <c r="D44" i="28"/>
  <c r="D11" i="29"/>
  <c r="D11" i="30" s="1"/>
  <c r="D48" i="28"/>
  <c r="D16" i="29"/>
  <c r="D16" i="30" s="1"/>
  <c r="D53" i="28"/>
  <c r="D20" i="29"/>
  <c r="D20" i="30" s="1"/>
  <c r="D57" i="28"/>
  <c r="D24" i="29"/>
  <c r="D24" i="30" s="1"/>
  <c r="D61" i="28"/>
  <c r="D28" i="29"/>
  <c r="D28" i="30" s="1"/>
  <c r="D65" i="28"/>
  <c r="D32" i="29"/>
  <c r="D32" i="30" s="1"/>
  <c r="D69" i="28"/>
  <c r="D36" i="29"/>
  <c r="D36" i="30" s="1"/>
  <c r="D73" i="28"/>
  <c r="E5" i="29"/>
  <c r="E5" i="30" s="1"/>
  <c r="E42" i="28"/>
  <c r="E9" i="29"/>
  <c r="E9" i="30" s="1"/>
  <c r="E46" i="28"/>
  <c r="E13" i="29"/>
  <c r="E13" i="30" s="1"/>
  <c r="E50" i="28"/>
  <c r="E22" i="29"/>
  <c r="E22" i="30" s="1"/>
  <c r="E59" i="28"/>
  <c r="E26" i="29"/>
  <c r="E26" i="30" s="1"/>
  <c r="E63" i="28"/>
  <c r="E30" i="29"/>
  <c r="E30" i="30" s="1"/>
  <c r="E67" i="28"/>
  <c r="E34" i="29"/>
  <c r="E34" i="30" s="1"/>
  <c r="E71" i="28"/>
  <c r="E38" i="29"/>
  <c r="E38" i="30" s="1"/>
  <c r="E75" i="28"/>
  <c r="F7" i="29"/>
  <c r="F7" i="30" s="1"/>
  <c r="F44" i="28"/>
  <c r="F11" i="29"/>
  <c r="F11" i="30" s="1"/>
  <c r="F48" i="28"/>
  <c r="F16" i="29"/>
  <c r="F16" i="30" s="1"/>
  <c r="F53" i="28"/>
  <c r="F20" i="29"/>
  <c r="F20" i="30" s="1"/>
  <c r="F57" i="28"/>
  <c r="F24" i="29"/>
  <c r="F24" i="30" s="1"/>
  <c r="F61" i="28"/>
  <c r="F28" i="29"/>
  <c r="F28" i="30" s="1"/>
  <c r="F65" i="28"/>
  <c r="F32" i="29"/>
  <c r="F32" i="30" s="1"/>
  <c r="F69" i="28"/>
  <c r="F36" i="29"/>
  <c r="F36" i="30" s="1"/>
  <c r="F73" i="28"/>
  <c r="G5" i="29"/>
  <c r="G42" i="28"/>
  <c r="G13" i="29"/>
  <c r="G50" i="28"/>
  <c r="G25" i="29"/>
  <c r="G62" i="28"/>
  <c r="G33" i="29"/>
  <c r="G70" i="28"/>
  <c r="G37" i="29"/>
  <c r="G74" i="28"/>
  <c r="F14" i="29"/>
  <c r="F14" i="30" s="1"/>
  <c r="E14" i="29"/>
  <c r="E14" i="30" s="1"/>
  <c r="D14" i="29"/>
  <c r="D14" i="30" s="1"/>
  <c r="C14" i="29"/>
  <c r="C14" i="30" s="1"/>
  <c r="N40" i="26"/>
  <c r="F39" i="29" s="1"/>
  <c r="F39" i="30" s="1"/>
  <c r="E10" i="29"/>
  <c r="E10" i="30" s="1"/>
  <c r="G39" i="31"/>
  <c r="F39"/>
  <c r="E39"/>
  <c r="D39"/>
  <c r="H40" i="26"/>
  <c r="D39" i="29" s="1"/>
  <c r="D39" i="30" s="1"/>
  <c r="Q40" i="26"/>
  <c r="G39" i="29" s="1"/>
  <c r="E40" i="26"/>
  <c r="C39" i="29" s="1"/>
  <c r="C39" i="30" s="1"/>
  <c r="K40" i="26"/>
  <c r="E39" i="29" s="1"/>
  <c r="E39" i="30" s="1"/>
  <c r="G76" i="28" l="1"/>
  <c r="G77" s="1"/>
  <c r="E76"/>
  <c r="E77" s="1"/>
  <c r="C76"/>
  <c r="C77" s="1"/>
  <c r="F76"/>
  <c r="F77" s="1"/>
  <c r="D76"/>
  <c r="D77" s="1"/>
  <c r="T1" i="24"/>
  <c r="AC1" s="1"/>
  <c r="L1"/>
  <c r="U1" s="1"/>
  <c r="C40" i="26" l="1"/>
  <c r="C39" i="31" s="1"/>
  <c r="AA7" i="23"/>
  <c r="AB7"/>
  <c r="AA8"/>
  <c r="AB8"/>
  <c r="AA9"/>
  <c r="AB9"/>
  <c r="AA10"/>
  <c r="AB10"/>
  <c r="AA11"/>
  <c r="AB11"/>
  <c r="AA12"/>
  <c r="AB12"/>
  <c r="AA13"/>
  <c r="AB13"/>
  <c r="AA14"/>
  <c r="AB14"/>
  <c r="AA15"/>
  <c r="AB15"/>
  <c r="AA16"/>
  <c r="AB16"/>
  <c r="AA17"/>
  <c r="AB17"/>
  <c r="AA18"/>
  <c r="AB18"/>
  <c r="AA19"/>
  <c r="AB19"/>
  <c r="AA20"/>
  <c r="AB20"/>
  <c r="AA21"/>
  <c r="AB21"/>
  <c r="AA22"/>
  <c r="AB22"/>
  <c r="AA23"/>
  <c r="AB23"/>
  <c r="AA24"/>
  <c r="AB24"/>
  <c r="AA25"/>
  <c r="AB25"/>
  <c r="AA26"/>
  <c r="AB26"/>
  <c r="AA27"/>
  <c r="AB27"/>
  <c r="AA28"/>
  <c r="AB28"/>
  <c r="AA29"/>
  <c r="AB29"/>
  <c r="AA30"/>
  <c r="AB30"/>
  <c r="AA3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B6"/>
  <c r="AA6"/>
  <c r="X7"/>
  <c r="Y7"/>
  <c r="X8"/>
  <c r="Y8"/>
  <c r="X9"/>
  <c r="Y9"/>
  <c r="X10"/>
  <c r="Y10"/>
  <c r="X11"/>
  <c r="Y11"/>
  <c r="X12"/>
  <c r="Y12"/>
  <c r="X13"/>
  <c r="Y13"/>
  <c r="X14"/>
  <c r="Y14"/>
  <c r="X15"/>
  <c r="Y15"/>
  <c r="X16"/>
  <c r="Y16"/>
  <c r="X17"/>
  <c r="Y17"/>
  <c r="X18"/>
  <c r="Y18"/>
  <c r="X19"/>
  <c r="Y19"/>
  <c r="X20"/>
  <c r="Y20"/>
  <c r="X21"/>
  <c r="Y21"/>
  <c r="X22"/>
  <c r="Y22"/>
  <c r="X23"/>
  <c r="Y23"/>
  <c r="X24"/>
  <c r="Y24"/>
  <c r="X25"/>
  <c r="Y25"/>
  <c r="X26"/>
  <c r="Y26"/>
  <c r="X27"/>
  <c r="Y27"/>
  <c r="X28"/>
  <c r="Y28"/>
  <c r="X29"/>
  <c r="Y29"/>
  <c r="X30"/>
  <c r="Y30"/>
  <c r="X31"/>
  <c r="Y31"/>
  <c r="X32"/>
  <c r="Y32"/>
  <c r="X33"/>
  <c r="Y33"/>
  <c r="X34"/>
  <c r="Y34"/>
  <c r="X35"/>
  <c r="Y35"/>
  <c r="X36"/>
  <c r="Y36"/>
  <c r="X37"/>
  <c r="Y37"/>
  <c r="X38"/>
  <c r="Y38"/>
  <c r="X39"/>
  <c r="Y39"/>
  <c r="X40"/>
  <c r="Y40"/>
  <c r="Y6"/>
  <c r="X6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10"/>
  <c r="V10"/>
  <c r="U11"/>
  <c r="V11"/>
  <c r="U12"/>
  <c r="V12"/>
  <c r="U13"/>
  <c r="V13"/>
  <c r="U14"/>
  <c r="V14"/>
  <c r="U15"/>
  <c r="V15"/>
  <c r="U7"/>
  <c r="V7"/>
  <c r="U8"/>
  <c r="V8"/>
  <c r="U9"/>
  <c r="V9"/>
  <c r="V6"/>
  <c r="U6"/>
  <c r="R7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S6"/>
  <c r="R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P6"/>
  <c r="O6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L35"/>
  <c r="M35"/>
  <c r="L36"/>
  <c r="M36"/>
  <c r="L37"/>
  <c r="M37"/>
  <c r="L38"/>
  <c r="M38"/>
  <c r="L39"/>
  <c r="M39"/>
  <c r="L40"/>
  <c r="M40"/>
  <c r="M34"/>
  <c r="L34"/>
  <c r="W6" i="24"/>
  <c r="W7"/>
  <c r="W8"/>
  <c r="W9"/>
  <c r="W10"/>
  <c r="W11"/>
  <c r="W12"/>
  <c r="W13"/>
  <c r="W14"/>
  <c r="W15"/>
  <c r="W16"/>
  <c r="W17"/>
  <c r="W18"/>
  <c r="W19"/>
  <c r="W20"/>
  <c r="W21"/>
  <c r="W22"/>
  <c r="W24"/>
  <c r="W25"/>
  <c r="W26"/>
  <c r="W27"/>
  <c r="W28"/>
  <c r="W29"/>
  <c r="W30"/>
  <c r="W31"/>
  <c r="W32"/>
  <c r="W33"/>
  <c r="W34"/>
  <c r="W35"/>
  <c r="W36"/>
  <c r="W37"/>
  <c r="W38"/>
  <c r="W39"/>
  <c r="W40"/>
  <c r="D41"/>
  <c r="F41"/>
  <c r="G41"/>
  <c r="I41"/>
  <c r="J41"/>
  <c r="M41"/>
  <c r="O41"/>
  <c r="P41"/>
  <c r="R41"/>
  <c r="S41"/>
  <c r="U41"/>
  <c r="V41"/>
  <c r="X41"/>
  <c r="Y41"/>
  <c r="AA41"/>
  <c r="AB41"/>
  <c r="T6"/>
  <c r="T7"/>
  <c r="T8"/>
  <c r="T9"/>
  <c r="T10"/>
  <c r="T11"/>
  <c r="T12"/>
  <c r="T13"/>
  <c r="T14"/>
  <c r="T15"/>
  <c r="T16"/>
  <c r="T17"/>
  <c r="T18"/>
  <c r="T19"/>
  <c r="T20"/>
  <c r="T21"/>
  <c r="T22"/>
  <c r="T24"/>
  <c r="T25"/>
  <c r="T26"/>
  <c r="T27"/>
  <c r="T28"/>
  <c r="T29"/>
  <c r="T30"/>
  <c r="T31"/>
  <c r="T32"/>
  <c r="T33"/>
  <c r="T34"/>
  <c r="T35"/>
  <c r="T36"/>
  <c r="T37"/>
  <c r="T38"/>
  <c r="T39"/>
  <c r="T40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Z40"/>
  <c r="Z39"/>
  <c r="Z38"/>
  <c r="Z37"/>
  <c r="Z36"/>
  <c r="Z35"/>
  <c r="Z34"/>
  <c r="Z33"/>
  <c r="Z32"/>
  <c r="Z31"/>
  <c r="Z30"/>
  <c r="Z29"/>
  <c r="Z28"/>
  <c r="Z27"/>
  <c r="Z26"/>
  <c r="Z25"/>
  <c r="Z24"/>
  <c r="Z22"/>
  <c r="Z21"/>
  <c r="Z20"/>
  <c r="Z19"/>
  <c r="Z18"/>
  <c r="Z17"/>
  <c r="Z16"/>
  <c r="Z15"/>
  <c r="Z14"/>
  <c r="Z13"/>
  <c r="Z12"/>
  <c r="Z11"/>
  <c r="Z10"/>
  <c r="Z9"/>
  <c r="Z8"/>
  <c r="Z7"/>
  <c r="Z6"/>
  <c r="Q40"/>
  <c r="Q39"/>
  <c r="Q38"/>
  <c r="Q37"/>
  <c r="Q36"/>
  <c r="Q35"/>
  <c r="Q34"/>
  <c r="Q33"/>
  <c r="Q32"/>
  <c r="Q31"/>
  <c r="Q30"/>
  <c r="Q29"/>
  <c r="Q28"/>
  <c r="Q27"/>
  <c r="Q26"/>
  <c r="Q25"/>
  <c r="Q24"/>
  <c r="Q22"/>
  <c r="Q21"/>
  <c r="Q20"/>
  <c r="Q19"/>
  <c r="Q18"/>
  <c r="Q17"/>
  <c r="Q16"/>
  <c r="Q15"/>
  <c r="Q14"/>
  <c r="Q13"/>
  <c r="Q12"/>
  <c r="Q11"/>
  <c r="Q10"/>
  <c r="Q9"/>
  <c r="Q8"/>
  <c r="Q7"/>
  <c r="Q6"/>
  <c r="N40"/>
  <c r="N39"/>
  <c r="N38"/>
  <c r="N37"/>
  <c r="N36"/>
  <c r="N35"/>
  <c r="N34"/>
  <c r="N33"/>
  <c r="N32"/>
  <c r="N31"/>
  <c r="N30"/>
  <c r="N29"/>
  <c r="N28"/>
  <c r="N27"/>
  <c r="N26"/>
  <c r="N25"/>
  <c r="N24"/>
  <c r="N22"/>
  <c r="N21"/>
  <c r="N20"/>
  <c r="N19"/>
  <c r="N18"/>
  <c r="N17"/>
  <c r="N16"/>
  <c r="N15"/>
  <c r="N14"/>
  <c r="N13"/>
  <c r="N12"/>
  <c r="N11"/>
  <c r="N10"/>
  <c r="N9"/>
  <c r="N8"/>
  <c r="N7"/>
  <c r="N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I7" i="23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J6"/>
  <c r="I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G6"/>
  <c r="F6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7"/>
  <c r="D7"/>
  <c r="C8"/>
  <c r="D8"/>
  <c r="C9"/>
  <c r="D9"/>
  <c r="C10"/>
  <c r="D10"/>
  <c r="C11"/>
  <c r="D11"/>
  <c r="D6"/>
  <c r="C6"/>
  <c r="C41" i="24"/>
  <c r="E40"/>
  <c r="H40"/>
  <c r="E39"/>
  <c r="H39"/>
  <c r="E38"/>
  <c r="H38"/>
  <c r="E37"/>
  <c r="H37"/>
  <c r="E36"/>
  <c r="H36"/>
  <c r="E35"/>
  <c r="H35"/>
  <c r="E34"/>
  <c r="H34"/>
  <c r="E33"/>
  <c r="H33"/>
  <c r="E32"/>
  <c r="H32"/>
  <c r="E31"/>
  <c r="H31"/>
  <c r="E30"/>
  <c r="H30"/>
  <c r="E29"/>
  <c r="H29"/>
  <c r="E28"/>
  <c r="H28"/>
  <c r="E27"/>
  <c r="H27"/>
  <c r="E26"/>
  <c r="H26"/>
  <c r="E25"/>
  <c r="H25"/>
  <c r="E24"/>
  <c r="H24"/>
  <c r="E23"/>
  <c r="H23"/>
  <c r="E22"/>
  <c r="H22"/>
  <c r="E21"/>
  <c r="H21"/>
  <c r="E20"/>
  <c r="H20"/>
  <c r="E19"/>
  <c r="H19"/>
  <c r="E18"/>
  <c r="H18"/>
  <c r="E17"/>
  <c r="H17"/>
  <c r="E16"/>
  <c r="H16"/>
  <c r="E15"/>
  <c r="H15"/>
  <c r="E14"/>
  <c r="H14"/>
  <c r="E13"/>
  <c r="H13"/>
  <c r="E12"/>
  <c r="H12"/>
  <c r="E11"/>
  <c r="H11"/>
  <c r="E10"/>
  <c r="H10"/>
  <c r="E9"/>
  <c r="H9"/>
  <c r="E8"/>
  <c r="H8"/>
  <c r="E7"/>
  <c r="H7"/>
  <c r="E6"/>
  <c r="H6"/>
  <c r="K6"/>
  <c r="W41" l="1"/>
  <c r="Q41"/>
  <c r="AC41"/>
  <c r="T41"/>
  <c r="N41"/>
  <c r="Z41"/>
  <c r="K41"/>
  <c r="H41"/>
  <c r="E41"/>
  <c r="I2" i="21"/>
  <c r="O2" s="1"/>
  <c r="U2" s="1"/>
  <c r="I1"/>
  <c r="O1" s="1"/>
  <c r="U1" s="1"/>
  <c r="I2" i="18"/>
  <c r="O2" s="1"/>
  <c r="U2" s="1"/>
  <c r="I1"/>
  <c r="O1" s="1"/>
  <c r="U1" s="1"/>
  <c r="I2" i="16"/>
  <c r="O2" s="1"/>
  <c r="U2" s="1"/>
  <c r="I1"/>
  <c r="O1" s="1"/>
  <c r="U1" s="1"/>
  <c r="T40" i="14"/>
  <c r="W40" i="23" s="1"/>
  <c r="T39" i="14"/>
  <c r="T38"/>
  <c r="T37"/>
  <c r="T36"/>
  <c r="T35"/>
  <c r="W35" i="23" s="1"/>
  <c r="T34" i="14"/>
  <c r="T33"/>
  <c r="W33" i="23" s="1"/>
  <c r="T32" i="14"/>
  <c r="W32" i="23" s="1"/>
  <c r="T31" i="14"/>
  <c r="W31" i="23" s="1"/>
  <c r="T30" i="14"/>
  <c r="W30" i="23" s="1"/>
  <c r="T29" i="14"/>
  <c r="W29" i="23" s="1"/>
  <c r="T28" i="14"/>
  <c r="W28" i="23" s="1"/>
  <c r="T27" i="14"/>
  <c r="W27" i="23" s="1"/>
  <c r="T26" i="14"/>
  <c r="W26" i="23" s="1"/>
  <c r="T25" i="14"/>
  <c r="W25" i="23" s="1"/>
  <c r="T24" i="14"/>
  <c r="W24" i="23" s="1"/>
  <c r="T23" i="14"/>
  <c r="W23" i="23" s="1"/>
  <c r="T22" i="14"/>
  <c r="W22" i="23" s="1"/>
  <c r="T21" i="14"/>
  <c r="W21" i="23" s="1"/>
  <c r="T20" i="14"/>
  <c r="W20" i="23" s="1"/>
  <c r="T19" i="14"/>
  <c r="W19" i="23" s="1"/>
  <c r="T18" i="14"/>
  <c r="W18" i="23" s="1"/>
  <c r="T17" i="14"/>
  <c r="W17" i="23" s="1"/>
  <c r="W16"/>
  <c r="T15" i="14"/>
  <c r="W15" i="23" s="1"/>
  <c r="T14" i="14"/>
  <c r="W14" i="23" s="1"/>
  <c r="T13" i="14"/>
  <c r="W13" i="23" s="1"/>
  <c r="T12" i="14"/>
  <c r="W12" i="23" s="1"/>
  <c r="T11" i="14"/>
  <c r="W11" i="23" s="1"/>
  <c r="T10" i="14"/>
  <c r="W10" i="23" s="1"/>
  <c r="T9" i="14"/>
  <c r="W9" i="23" s="1"/>
  <c r="T8" i="14"/>
  <c r="W8" i="23" s="1"/>
  <c r="T7" i="14"/>
  <c r="T6"/>
  <c r="W6" i="23" s="1"/>
  <c r="Q40" i="14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5"/>
  <c r="Q14"/>
  <c r="Q13"/>
  <c r="Q12"/>
  <c r="Q11"/>
  <c r="Q10"/>
  <c r="Q9"/>
  <c r="Q8"/>
  <c r="Q7"/>
  <c r="Q6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K40"/>
  <c r="K39"/>
  <c r="K38"/>
  <c r="K37"/>
  <c r="K36"/>
  <c r="K35"/>
  <c r="K34"/>
  <c r="K33"/>
  <c r="K32"/>
  <c r="K31"/>
  <c r="K30"/>
  <c r="K29"/>
  <c r="K28"/>
  <c r="K26"/>
  <c r="K25"/>
  <c r="K22"/>
  <c r="K21"/>
  <c r="K20"/>
  <c r="K19"/>
  <c r="K18"/>
  <c r="K17"/>
  <c r="K15"/>
  <c r="K14"/>
  <c r="K13"/>
  <c r="K12"/>
  <c r="K11"/>
  <c r="K10"/>
  <c r="K9"/>
  <c r="K8"/>
  <c r="K7"/>
  <c r="K6"/>
  <c r="H40"/>
  <c r="H39"/>
  <c r="H38"/>
  <c r="H37"/>
  <c r="H36"/>
  <c r="H35"/>
  <c r="H34"/>
  <c r="H33"/>
  <c r="H32"/>
  <c r="H31"/>
  <c r="H30"/>
  <c r="H29"/>
  <c r="H28"/>
  <c r="H27"/>
  <c r="H26"/>
  <c r="H25"/>
  <c r="H22"/>
  <c r="H21"/>
  <c r="H20"/>
  <c r="H19"/>
  <c r="H17"/>
  <c r="H15"/>
  <c r="H14"/>
  <c r="H13"/>
  <c r="H12"/>
  <c r="H11"/>
  <c r="H10"/>
  <c r="H9"/>
  <c r="H8"/>
  <c r="H7"/>
  <c r="H6"/>
  <c r="BC41"/>
  <c r="BB41"/>
  <c r="AZ41"/>
  <c r="AY41"/>
  <c r="AQ41"/>
  <c r="AP41"/>
  <c r="AN41"/>
  <c r="AM41"/>
  <c r="AE41"/>
  <c r="AD41"/>
  <c r="AB41"/>
  <c r="AA41"/>
  <c r="Y41"/>
  <c r="X41"/>
  <c r="S41"/>
  <c r="R41"/>
  <c r="P41"/>
  <c r="O41"/>
  <c r="M41"/>
  <c r="L41"/>
  <c r="J41"/>
  <c r="I41"/>
  <c r="G41"/>
  <c r="F41"/>
  <c r="D41"/>
  <c r="C41"/>
  <c r="BF40"/>
  <c r="BE40"/>
  <c r="BD40"/>
  <c r="BA40"/>
  <c r="AT40"/>
  <c r="AS40"/>
  <c r="AR40"/>
  <c r="AC40" i="23" s="1"/>
  <c r="AO40" i="14"/>
  <c r="AH40"/>
  <c r="AG40"/>
  <c r="AF40"/>
  <c r="Z40" i="23" s="1"/>
  <c r="AC40" i="14"/>
  <c r="Z40"/>
  <c r="V40"/>
  <c r="U40"/>
  <c r="E40"/>
  <c r="BF39"/>
  <c r="S39" i="21" s="1"/>
  <c r="BE39" i="14"/>
  <c r="BD39"/>
  <c r="BA39"/>
  <c r="AT39"/>
  <c r="AS39"/>
  <c r="AR39"/>
  <c r="AO39"/>
  <c r="AH39"/>
  <c r="G39" i="21" s="1"/>
  <c r="AG39" i="14"/>
  <c r="AF39"/>
  <c r="AC39"/>
  <c r="Z39"/>
  <c r="V39"/>
  <c r="U39"/>
  <c r="C39" i="21" s="1"/>
  <c r="E39" i="14"/>
  <c r="BF38"/>
  <c r="BE38"/>
  <c r="BD38"/>
  <c r="BA38"/>
  <c r="AT38"/>
  <c r="AS38"/>
  <c r="AR38"/>
  <c r="AO38"/>
  <c r="AH38"/>
  <c r="AG38"/>
  <c r="AF38"/>
  <c r="AC38"/>
  <c r="Z38"/>
  <c r="V38"/>
  <c r="U38"/>
  <c r="BF37"/>
  <c r="S37" i="21" s="1"/>
  <c r="BE37" i="14"/>
  <c r="BD37"/>
  <c r="BA37"/>
  <c r="AT37"/>
  <c r="AS37"/>
  <c r="AR37"/>
  <c r="AO37"/>
  <c r="AH37"/>
  <c r="G37" i="21" s="1"/>
  <c r="AG37" i="14"/>
  <c r="AF37"/>
  <c r="AC37"/>
  <c r="Z37"/>
  <c r="V37"/>
  <c r="U37"/>
  <c r="C37" i="21" s="1"/>
  <c r="E37" i="14"/>
  <c r="BF36"/>
  <c r="S36" i="21" s="1"/>
  <c r="BE36" i="14"/>
  <c r="BD36"/>
  <c r="BA36"/>
  <c r="AT36"/>
  <c r="AS36"/>
  <c r="AR36"/>
  <c r="AO36"/>
  <c r="AH36"/>
  <c r="G36" i="21" s="1"/>
  <c r="AG36" i="14"/>
  <c r="AF36"/>
  <c r="AC36"/>
  <c r="Z36"/>
  <c r="V36"/>
  <c r="U36"/>
  <c r="C36" i="21" s="1"/>
  <c r="BF35" i="14"/>
  <c r="BE35"/>
  <c r="BD35"/>
  <c r="BA35"/>
  <c r="AT35"/>
  <c r="AR35"/>
  <c r="AC35" i="23" s="1"/>
  <c r="AO35" i="14"/>
  <c r="AH35"/>
  <c r="AG35"/>
  <c r="AF35"/>
  <c r="Z35" i="23" s="1"/>
  <c r="AC35" i="14"/>
  <c r="Z35"/>
  <c r="V35"/>
  <c r="U35"/>
  <c r="E35"/>
  <c r="BF34"/>
  <c r="S34" i="21" s="1"/>
  <c r="BE34" i="14"/>
  <c r="BD34"/>
  <c r="BA34"/>
  <c r="AT34"/>
  <c r="AS34"/>
  <c r="AR34"/>
  <c r="AO34"/>
  <c r="AH34"/>
  <c r="G34" i="21" s="1"/>
  <c r="AG34" i="14"/>
  <c r="AF34"/>
  <c r="AC34"/>
  <c r="Z34"/>
  <c r="V34"/>
  <c r="U34"/>
  <c r="C34" i="21" s="1"/>
  <c r="BF33" i="14"/>
  <c r="S33" i="21" s="1"/>
  <c r="BE33" i="14"/>
  <c r="BD33"/>
  <c r="BA33"/>
  <c r="AT33"/>
  <c r="AS33"/>
  <c r="AR33"/>
  <c r="AO33"/>
  <c r="AH33"/>
  <c r="G33" i="21" s="1"/>
  <c r="AG33" i="14"/>
  <c r="AF33"/>
  <c r="AC33"/>
  <c r="Z33"/>
  <c r="V33"/>
  <c r="U33"/>
  <c r="C33" i="21" s="1"/>
  <c r="BF32" i="14"/>
  <c r="S32" i="21" s="1"/>
  <c r="BE32" i="14"/>
  <c r="BD32"/>
  <c r="BA32"/>
  <c r="AT32"/>
  <c r="AS32"/>
  <c r="AR32"/>
  <c r="AC32" i="23" s="1"/>
  <c r="AO32" i="14"/>
  <c r="AH32"/>
  <c r="G32" i="21" s="1"/>
  <c r="AG32" i="14"/>
  <c r="AF32"/>
  <c r="Z32" i="23" s="1"/>
  <c r="AC32" i="14"/>
  <c r="Z32"/>
  <c r="V32"/>
  <c r="U32"/>
  <c r="C32" i="21" s="1"/>
  <c r="BF31" i="14"/>
  <c r="S31" i="21" s="1"/>
  <c r="BE31" i="14"/>
  <c r="BD31"/>
  <c r="BA31"/>
  <c r="AT31"/>
  <c r="AS31"/>
  <c r="AR31"/>
  <c r="AC31" i="23" s="1"/>
  <c r="AO31" i="14"/>
  <c r="AH31"/>
  <c r="G31" i="21" s="1"/>
  <c r="AG31" i="14"/>
  <c r="AF31"/>
  <c r="Z31" i="23" s="1"/>
  <c r="AC31" i="14"/>
  <c r="Z31"/>
  <c r="V31"/>
  <c r="U31"/>
  <c r="C31" i="21" s="1"/>
  <c r="BF30" i="14"/>
  <c r="S30" i="21" s="1"/>
  <c r="BE30" i="14"/>
  <c r="BD30"/>
  <c r="BA30"/>
  <c r="AT30"/>
  <c r="AS30"/>
  <c r="AR30"/>
  <c r="AC30" i="23" s="1"/>
  <c r="AH30" i="14"/>
  <c r="G30" i="21" s="1"/>
  <c r="AG30" i="14"/>
  <c r="AF30"/>
  <c r="Z30" i="23" s="1"/>
  <c r="AC30" i="14"/>
  <c r="Z30"/>
  <c r="V30"/>
  <c r="U30"/>
  <c r="C30" i="21" s="1"/>
  <c r="E30" i="14"/>
  <c r="BF29"/>
  <c r="S29" i="21" s="1"/>
  <c r="BE29" i="14"/>
  <c r="BD29"/>
  <c r="BA29"/>
  <c r="AT29"/>
  <c r="AS29"/>
  <c r="AR29"/>
  <c r="AC29" i="23" s="1"/>
  <c r="AO29" i="14"/>
  <c r="AH29"/>
  <c r="G29" i="21" s="1"/>
  <c r="AG29" i="14"/>
  <c r="AF29"/>
  <c r="Z29" i="23" s="1"/>
  <c r="AC29" i="14"/>
  <c r="Z29"/>
  <c r="V29"/>
  <c r="U29"/>
  <c r="C29" i="21" s="1"/>
  <c r="E29" i="14"/>
  <c r="BF28"/>
  <c r="S28" i="21" s="1"/>
  <c r="BE28" i="14"/>
  <c r="BD28"/>
  <c r="BA28"/>
  <c r="AT28"/>
  <c r="AS28"/>
  <c r="AR28"/>
  <c r="AC28" i="23" s="1"/>
  <c r="AO28" i="14"/>
  <c r="AH28"/>
  <c r="G28" i="21" s="1"/>
  <c r="AG28" i="14"/>
  <c r="AF28"/>
  <c r="Z28" i="23" s="1"/>
  <c r="AC28" i="14"/>
  <c r="Z28"/>
  <c r="V28"/>
  <c r="U28"/>
  <c r="C28" i="21" s="1"/>
  <c r="BF27" i="14"/>
  <c r="S27" i="21" s="1"/>
  <c r="BE27" i="14"/>
  <c r="BD27"/>
  <c r="BA27"/>
  <c r="AT27"/>
  <c r="AS27"/>
  <c r="AR27"/>
  <c r="AC27" i="23" s="1"/>
  <c r="AO27" i="14"/>
  <c r="AH27"/>
  <c r="G27" i="21" s="1"/>
  <c r="AG27" i="14"/>
  <c r="AF27"/>
  <c r="Z27" i="23" s="1"/>
  <c r="AC27" i="14"/>
  <c r="Z27"/>
  <c r="V27"/>
  <c r="U27"/>
  <c r="E27"/>
  <c r="BF26"/>
  <c r="BE26"/>
  <c r="H25" i="37" s="1"/>
  <c r="BD26" i="14"/>
  <c r="BA26"/>
  <c r="AT26"/>
  <c r="I25" i="37" s="1"/>
  <c r="AS26" i="14"/>
  <c r="F25" i="37" s="1"/>
  <c r="AR26" i="14"/>
  <c r="AC26" i="23" s="1"/>
  <c r="AO26" i="14"/>
  <c r="AH26"/>
  <c r="AG26"/>
  <c r="D25" i="37" s="1"/>
  <c r="AF26" i="14"/>
  <c r="Z26" i="23" s="1"/>
  <c r="AC26" i="14"/>
  <c r="Z26"/>
  <c r="V26"/>
  <c r="C25" i="37" s="1"/>
  <c r="U26" i="14"/>
  <c r="BF25"/>
  <c r="S25" i="21" s="1"/>
  <c r="BE25" i="14"/>
  <c r="BD25"/>
  <c r="BA25"/>
  <c r="AT25"/>
  <c r="AS25"/>
  <c r="AR25"/>
  <c r="AC25" i="23" s="1"/>
  <c r="AO25" i="14"/>
  <c r="AH25"/>
  <c r="G25" i="21" s="1"/>
  <c r="AG25" i="14"/>
  <c r="AF25"/>
  <c r="Z25" i="23" s="1"/>
  <c r="AC25" i="14"/>
  <c r="Z25"/>
  <c r="V25"/>
  <c r="U25"/>
  <c r="BF24"/>
  <c r="S24" i="21" s="1"/>
  <c r="BE24" i="14"/>
  <c r="BD24"/>
  <c r="BA24"/>
  <c r="AT24"/>
  <c r="AS24"/>
  <c r="AR24"/>
  <c r="AC24" i="23" s="1"/>
  <c r="AO24" i="14"/>
  <c r="AH24"/>
  <c r="G24" i="21" s="1"/>
  <c r="AG24" i="14"/>
  <c r="AF24"/>
  <c r="Z24" i="23" s="1"/>
  <c r="AC24" i="14"/>
  <c r="Z24"/>
  <c r="V24"/>
  <c r="U24"/>
  <c r="E24"/>
  <c r="BF23"/>
  <c r="S23" i="21" s="1"/>
  <c r="BE23" i="14"/>
  <c r="BD23"/>
  <c r="BA23"/>
  <c r="AT23"/>
  <c r="AS23"/>
  <c r="AR23"/>
  <c r="AC23" i="23" s="1"/>
  <c r="AO23" i="14"/>
  <c r="AH23"/>
  <c r="G23" i="21" s="1"/>
  <c r="AG23" i="14"/>
  <c r="AF23"/>
  <c r="Z23" i="23" s="1"/>
  <c r="Z23" i="14"/>
  <c r="V23"/>
  <c r="U23"/>
  <c r="C23" i="21" s="1"/>
  <c r="BF22" i="14"/>
  <c r="S22" i="21" s="1"/>
  <c r="BE22" i="14"/>
  <c r="BD22"/>
  <c r="BA22"/>
  <c r="AT22"/>
  <c r="AS22"/>
  <c r="AR22"/>
  <c r="AC22" i="23" s="1"/>
  <c r="AO22" i="14"/>
  <c r="AH22"/>
  <c r="G22" i="21" s="1"/>
  <c r="AG22" i="14"/>
  <c r="AF22"/>
  <c r="Z22" i="23" s="1"/>
  <c r="AC22" i="14"/>
  <c r="Z22"/>
  <c r="V22"/>
  <c r="U22"/>
  <c r="E22"/>
  <c r="BF21"/>
  <c r="S21" i="21" s="1"/>
  <c r="BE21" i="14"/>
  <c r="BD21"/>
  <c r="BA21"/>
  <c r="AT21"/>
  <c r="AS21"/>
  <c r="AR21"/>
  <c r="AC21" i="23" s="1"/>
  <c r="AO21" i="14"/>
  <c r="AH21"/>
  <c r="G21" i="21" s="1"/>
  <c r="AG21" i="14"/>
  <c r="AF21"/>
  <c r="Z21" i="23" s="1"/>
  <c r="V21" i="14"/>
  <c r="U21"/>
  <c r="E21"/>
  <c r="BF20"/>
  <c r="S20" i="21" s="1"/>
  <c r="BE20" i="14"/>
  <c r="BD20"/>
  <c r="BA20"/>
  <c r="AT20"/>
  <c r="AS20"/>
  <c r="AR20"/>
  <c r="AC20" i="23" s="1"/>
  <c r="AO20" i="14"/>
  <c r="AH20"/>
  <c r="G20" i="21" s="1"/>
  <c r="AG20" i="14"/>
  <c r="AF20"/>
  <c r="Z20" i="23" s="1"/>
  <c r="AC20" i="14"/>
  <c r="Z20"/>
  <c r="V20"/>
  <c r="U20"/>
  <c r="E20"/>
  <c r="BF19"/>
  <c r="S19" i="21" s="1"/>
  <c r="BE19" i="14"/>
  <c r="BD19"/>
  <c r="BA19"/>
  <c r="AT19"/>
  <c r="AS19"/>
  <c r="AR19"/>
  <c r="AC19" i="23" s="1"/>
  <c r="AO19" i="14"/>
  <c r="AH19"/>
  <c r="G19" i="21" s="1"/>
  <c r="AG19" i="14"/>
  <c r="AF19"/>
  <c r="Z19" i="23" s="1"/>
  <c r="Z19" i="14"/>
  <c r="V19"/>
  <c r="U19"/>
  <c r="BF18"/>
  <c r="S18" i="21" s="1"/>
  <c r="BE18" i="14"/>
  <c r="BD18"/>
  <c r="BA18"/>
  <c r="AT18"/>
  <c r="AS18"/>
  <c r="AR18"/>
  <c r="AC18" i="23" s="1"/>
  <c r="AO18" i="14"/>
  <c r="AH18"/>
  <c r="G18" i="21" s="1"/>
  <c r="AG18" i="14"/>
  <c r="AF18"/>
  <c r="Z18" i="23" s="1"/>
  <c r="AC18" i="14"/>
  <c r="Z18"/>
  <c r="V18"/>
  <c r="U18"/>
  <c r="BF17"/>
  <c r="S17" i="21" s="1"/>
  <c r="BE17" i="14"/>
  <c r="BD17"/>
  <c r="BA17"/>
  <c r="AT17"/>
  <c r="AS17"/>
  <c r="AR17"/>
  <c r="AC17" i="23" s="1"/>
  <c r="AH17" i="14"/>
  <c r="G17" i="21" s="1"/>
  <c r="AG17" i="14"/>
  <c r="AF17"/>
  <c r="Z17" i="23" s="1"/>
  <c r="AC17" i="14"/>
  <c r="Z17"/>
  <c r="V17"/>
  <c r="U17"/>
  <c r="BF16"/>
  <c r="BE16"/>
  <c r="AC16" i="23"/>
  <c r="Z16"/>
  <c r="BF15" i="14"/>
  <c r="S15" i="21" s="1"/>
  <c r="BE15" i="14"/>
  <c r="BD15"/>
  <c r="BA15"/>
  <c r="AT15"/>
  <c r="AS15"/>
  <c r="AR15"/>
  <c r="AC15" i="23" s="1"/>
  <c r="AH15" i="14"/>
  <c r="G15" i="21" s="1"/>
  <c r="AG15" i="14"/>
  <c r="AF15"/>
  <c r="Z15" i="23" s="1"/>
  <c r="AC15" i="14"/>
  <c r="Z15"/>
  <c r="V15"/>
  <c r="U15"/>
  <c r="E15"/>
  <c r="BF14"/>
  <c r="S14" i="21" s="1"/>
  <c r="BE14" i="14"/>
  <c r="BD14"/>
  <c r="BA14"/>
  <c r="AT14"/>
  <c r="AS14"/>
  <c r="AR14"/>
  <c r="AC14" i="23" s="1"/>
  <c r="AO14" i="14"/>
  <c r="AH14"/>
  <c r="G14" i="21" s="1"/>
  <c r="AG14" i="14"/>
  <c r="AF14"/>
  <c r="Z14" i="23" s="1"/>
  <c r="AC14" i="14"/>
  <c r="Z14"/>
  <c r="V14"/>
  <c r="U14"/>
  <c r="BF13"/>
  <c r="BE13"/>
  <c r="BD13"/>
  <c r="BA13"/>
  <c r="AT13"/>
  <c r="I12" i="37" s="1"/>
  <c r="AS13" i="14"/>
  <c r="AR13"/>
  <c r="AC13" i="23" s="1"/>
  <c r="AO13" i="14"/>
  <c r="AH13"/>
  <c r="AG13"/>
  <c r="AF13"/>
  <c r="Z13" i="23" s="1"/>
  <c r="AC13" i="14"/>
  <c r="Z13"/>
  <c r="V13"/>
  <c r="U13"/>
  <c r="BF12"/>
  <c r="S12" i="21" s="1"/>
  <c r="BE12" i="14"/>
  <c r="BD12"/>
  <c r="BA12"/>
  <c r="AT12"/>
  <c r="AS12"/>
  <c r="AR12"/>
  <c r="AC12" i="23" s="1"/>
  <c r="AO12" i="14"/>
  <c r="AH12"/>
  <c r="G12" i="21" s="1"/>
  <c r="AG12" i="14"/>
  <c r="AF12"/>
  <c r="Z12" i="23" s="1"/>
  <c r="AC12" i="14"/>
  <c r="Z12"/>
  <c r="V12"/>
  <c r="U12"/>
  <c r="BF11"/>
  <c r="S11" i="21" s="1"/>
  <c r="BE11" i="14"/>
  <c r="BD11"/>
  <c r="AT11"/>
  <c r="AS11"/>
  <c r="AR11"/>
  <c r="AC11" i="23" s="1"/>
  <c r="AO11" i="14"/>
  <c r="AH11"/>
  <c r="G11" i="21" s="1"/>
  <c r="AG11" i="14"/>
  <c r="AF11"/>
  <c r="Z11" i="23" s="1"/>
  <c r="AC11" i="14"/>
  <c r="Z11"/>
  <c r="V11"/>
  <c r="U11"/>
  <c r="BF10"/>
  <c r="S10" i="21" s="1"/>
  <c r="BE10" i="14"/>
  <c r="BD10"/>
  <c r="AT10"/>
  <c r="AS10"/>
  <c r="AR10"/>
  <c r="AC10" i="23" s="1"/>
  <c r="AO10" i="14"/>
  <c r="AH10"/>
  <c r="G10" i="21" s="1"/>
  <c r="AG10" i="14"/>
  <c r="AF10"/>
  <c r="Z10" i="23" s="1"/>
  <c r="AC10" i="14"/>
  <c r="Z10"/>
  <c r="V10"/>
  <c r="U10"/>
  <c r="E10"/>
  <c r="S9" i="21"/>
  <c r="BE9" i="14"/>
  <c r="BD9"/>
  <c r="BA9"/>
  <c r="AT9"/>
  <c r="AS9"/>
  <c r="AR9"/>
  <c r="AC9" i="23" s="1"/>
  <c r="AO9" i="14"/>
  <c r="AH9"/>
  <c r="G9" i="21" s="1"/>
  <c r="AG9" i="14"/>
  <c r="AF9"/>
  <c r="Z9" i="23" s="1"/>
  <c r="AC9" i="14"/>
  <c r="Z9"/>
  <c r="V9"/>
  <c r="U9"/>
  <c r="BF8"/>
  <c r="S8" i="21" s="1"/>
  <c r="BE8" i="14"/>
  <c r="BD8"/>
  <c r="BA8"/>
  <c r="AT8"/>
  <c r="AS8"/>
  <c r="AR8"/>
  <c r="AC8" i="23" s="1"/>
  <c r="AO8" i="14"/>
  <c r="AH8"/>
  <c r="G8" i="21" s="1"/>
  <c r="AG8" i="14"/>
  <c r="AF8"/>
  <c r="Z8" i="23" s="1"/>
  <c r="AC8" i="14"/>
  <c r="Z8"/>
  <c r="V8"/>
  <c r="U8"/>
  <c r="E8"/>
  <c r="BF7"/>
  <c r="S7" i="21" s="1"/>
  <c r="BE7" i="14"/>
  <c r="BD7"/>
  <c r="BA7"/>
  <c r="AT7"/>
  <c r="AS7"/>
  <c r="AR7"/>
  <c r="AC7" i="23" s="1"/>
  <c r="AO7" i="14"/>
  <c r="AH7"/>
  <c r="G7" i="21" s="1"/>
  <c r="AG7" i="14"/>
  <c r="AF7"/>
  <c r="Z7" i="23" s="1"/>
  <c r="AC7" i="14"/>
  <c r="Z7"/>
  <c r="V7"/>
  <c r="U7"/>
  <c r="E7"/>
  <c r="BF6"/>
  <c r="BE6"/>
  <c r="BD6"/>
  <c r="AT6"/>
  <c r="AO6"/>
  <c r="AH6"/>
  <c r="G6" i="21" s="1"/>
  <c r="AG6" i="14"/>
  <c r="AF6"/>
  <c r="AC6"/>
  <c r="Z6"/>
  <c r="V6"/>
  <c r="U6"/>
  <c r="I2"/>
  <c r="O2" s="1"/>
  <c r="U2" s="1"/>
  <c r="AA2" s="1"/>
  <c r="AG2" s="1"/>
  <c r="AM2" s="1"/>
  <c r="AS2" s="1"/>
  <c r="AY2" s="1"/>
  <c r="BE2" s="1"/>
  <c r="I1"/>
  <c r="O1" s="1"/>
  <c r="U1" s="1"/>
  <c r="AA1" s="1"/>
  <c r="AG1" s="1"/>
  <c r="AM1" s="1"/>
  <c r="AS1" s="1"/>
  <c r="AY1" s="1"/>
  <c r="BE1" s="1"/>
  <c r="BD22" i="12"/>
  <c r="AR35"/>
  <c r="T35" i="23" s="1"/>
  <c r="AR38" i="12"/>
  <c r="AO33"/>
  <c r="T40"/>
  <c r="T39"/>
  <c r="N39" i="23" s="1"/>
  <c r="T38" i="12"/>
  <c r="T37"/>
  <c r="T36"/>
  <c r="T35"/>
  <c r="T34"/>
  <c r="N34" i="23" s="1"/>
  <c r="T33" i="12"/>
  <c r="N33" i="23" s="1"/>
  <c r="T32" i="12"/>
  <c r="T31"/>
  <c r="T30"/>
  <c r="T29"/>
  <c r="N29" i="23" s="1"/>
  <c r="T28" i="12"/>
  <c r="T27"/>
  <c r="N27" i="23" s="1"/>
  <c r="T26" i="12"/>
  <c r="T25"/>
  <c r="N25" i="23" s="1"/>
  <c r="T24" i="12"/>
  <c r="N24" i="23" s="1"/>
  <c r="T23" i="12"/>
  <c r="N23" i="23" s="1"/>
  <c r="T22" i="12"/>
  <c r="T21"/>
  <c r="N21" i="23" s="1"/>
  <c r="T20" i="12"/>
  <c r="T19"/>
  <c r="N19" i="23" s="1"/>
  <c r="T18" i="12"/>
  <c r="N17" i="23"/>
  <c r="T15" i="12"/>
  <c r="N15" i="23" s="1"/>
  <c r="T14" i="12"/>
  <c r="T13"/>
  <c r="N13" i="23" s="1"/>
  <c r="T12" i="12"/>
  <c r="T11"/>
  <c r="N11" i="23" s="1"/>
  <c r="T10" i="12"/>
  <c r="T9"/>
  <c r="N9" i="23" s="1"/>
  <c r="T8" i="12"/>
  <c r="T7"/>
  <c r="N7" i="23" s="1"/>
  <c r="T6" i="12"/>
  <c r="Q40"/>
  <c r="Q39"/>
  <c r="Q38"/>
  <c r="Q37"/>
  <c r="Q36"/>
  <c r="Q35"/>
  <c r="Q34"/>
  <c r="Q33"/>
  <c r="Q32"/>
  <c r="Q31"/>
  <c r="Q30"/>
  <c r="Q29"/>
  <c r="Q28"/>
  <c r="Q27"/>
  <c r="Q26"/>
  <c r="Q25"/>
  <c r="Q23"/>
  <c r="Q22"/>
  <c r="Q21"/>
  <c r="Q20"/>
  <c r="Q18"/>
  <c r="Q15"/>
  <c r="Q14"/>
  <c r="Q13"/>
  <c r="Q12"/>
  <c r="Q11"/>
  <c r="Q10"/>
  <c r="Q9"/>
  <c r="Q8"/>
  <c r="Q7"/>
  <c r="Q6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5"/>
  <c r="N14"/>
  <c r="N13"/>
  <c r="N12"/>
  <c r="N11"/>
  <c r="N10"/>
  <c r="N9"/>
  <c r="N8"/>
  <c r="N7"/>
  <c r="N6"/>
  <c r="K40"/>
  <c r="K39"/>
  <c r="K38"/>
  <c r="K37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5"/>
  <c r="K14"/>
  <c r="K13"/>
  <c r="K12"/>
  <c r="K11"/>
  <c r="K10"/>
  <c r="K9"/>
  <c r="K8"/>
  <c r="K7"/>
  <c r="K6"/>
  <c r="H40"/>
  <c r="H39"/>
  <c r="H38"/>
  <c r="H37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5"/>
  <c r="H14"/>
  <c r="H13"/>
  <c r="H12"/>
  <c r="H10"/>
  <c r="H9"/>
  <c r="H8"/>
  <c r="H7"/>
  <c r="AQ41"/>
  <c r="AP41"/>
  <c r="AN41"/>
  <c r="AM41"/>
  <c r="S41"/>
  <c r="R41"/>
  <c r="P41"/>
  <c r="M41"/>
  <c r="L41"/>
  <c r="J41"/>
  <c r="I41"/>
  <c r="G41"/>
  <c r="F41"/>
  <c r="D41"/>
  <c r="C41"/>
  <c r="BF40"/>
  <c r="S40" i="18" s="1"/>
  <c r="BE40" i="12"/>
  <c r="BD40"/>
  <c r="BA40"/>
  <c r="AT40"/>
  <c r="AS40"/>
  <c r="AR40"/>
  <c r="AO40"/>
  <c r="AH40"/>
  <c r="G40" i="18" s="1"/>
  <c r="AG40" i="12"/>
  <c r="AF40"/>
  <c r="AC40"/>
  <c r="Z40"/>
  <c r="V40"/>
  <c r="U40"/>
  <c r="C40" i="18" s="1"/>
  <c r="E40" i="12"/>
  <c r="BF39"/>
  <c r="BE39"/>
  <c r="H38" i="36" s="1"/>
  <c r="BD39" i="12"/>
  <c r="BA39"/>
  <c r="AT39"/>
  <c r="I38" i="36" s="1"/>
  <c r="AS39" i="12"/>
  <c r="F38" i="36" s="1"/>
  <c r="AR39" i="12"/>
  <c r="T39" i="23" s="1"/>
  <c r="AO39" i="12"/>
  <c r="AH39"/>
  <c r="AG39"/>
  <c r="D38" i="36" s="1"/>
  <c r="AF39" i="12"/>
  <c r="Q39" i="23" s="1"/>
  <c r="AC39" i="12"/>
  <c r="Z39"/>
  <c r="V39"/>
  <c r="C38" i="36" s="1"/>
  <c r="U39" i="12"/>
  <c r="E39"/>
  <c r="BF38"/>
  <c r="S38" i="18" s="1"/>
  <c r="BE38" i="12"/>
  <c r="BD38"/>
  <c r="BA38"/>
  <c r="AT38"/>
  <c r="AS38"/>
  <c r="AH38"/>
  <c r="G38" i="18" s="1"/>
  <c r="AG38" i="12"/>
  <c r="AF38"/>
  <c r="AC38"/>
  <c r="Z38"/>
  <c r="V38"/>
  <c r="U38"/>
  <c r="C38" i="18" s="1"/>
  <c r="E38" i="12"/>
  <c r="BF37"/>
  <c r="S37" i="18" s="1"/>
  <c r="BE37" i="12"/>
  <c r="BD37"/>
  <c r="BA37"/>
  <c r="AT37"/>
  <c r="AS37"/>
  <c r="AR37"/>
  <c r="AO37"/>
  <c r="AH37"/>
  <c r="G37" i="18" s="1"/>
  <c r="AG37" i="12"/>
  <c r="AF37"/>
  <c r="AC37"/>
  <c r="Z37"/>
  <c r="V37"/>
  <c r="U37"/>
  <c r="C37" i="18" s="1"/>
  <c r="BF36" i="12"/>
  <c r="S36" i="18" s="1"/>
  <c r="BE36" i="12"/>
  <c r="BD36"/>
  <c r="BA36"/>
  <c r="AT36"/>
  <c r="AS36"/>
  <c r="AR36"/>
  <c r="AO36"/>
  <c r="AH36"/>
  <c r="G36" i="18" s="1"/>
  <c r="AG36" i="12"/>
  <c r="AF36"/>
  <c r="AC36"/>
  <c r="Z36"/>
  <c r="V36"/>
  <c r="U36"/>
  <c r="C36" i="18" s="1"/>
  <c r="E36" i="12"/>
  <c r="BF35"/>
  <c r="S35" i="18" s="1"/>
  <c r="BE35" i="12"/>
  <c r="BD35"/>
  <c r="BA35"/>
  <c r="AT35"/>
  <c r="AS35"/>
  <c r="AO35"/>
  <c r="AH35"/>
  <c r="G35" i="18" s="1"/>
  <c r="AG35" i="12"/>
  <c r="AF35"/>
  <c r="Q35" i="23" s="1"/>
  <c r="AC35" i="12"/>
  <c r="Z35"/>
  <c r="V35"/>
  <c r="U35"/>
  <c r="C35" i="18" s="1"/>
  <c r="E35" i="12"/>
  <c r="BF34"/>
  <c r="BE34"/>
  <c r="H33" i="36" s="1"/>
  <c r="BD34" i="12"/>
  <c r="BA34"/>
  <c r="AT34"/>
  <c r="I33" i="36" s="1"/>
  <c r="AS34" i="12"/>
  <c r="F33" i="36" s="1"/>
  <c r="AR34" i="12"/>
  <c r="T34" i="23" s="1"/>
  <c r="AO34" i="12"/>
  <c r="AH34"/>
  <c r="AG34"/>
  <c r="D33" i="36" s="1"/>
  <c r="AF34" i="12"/>
  <c r="Q34" i="23" s="1"/>
  <c r="AC34" i="12"/>
  <c r="Z34"/>
  <c r="V34"/>
  <c r="C33" i="36" s="1"/>
  <c r="U34" i="12"/>
  <c r="E34"/>
  <c r="BF33"/>
  <c r="S33" i="18" s="1"/>
  <c r="BE33" i="12"/>
  <c r="BD33"/>
  <c r="BA33"/>
  <c r="AT33"/>
  <c r="AS33"/>
  <c r="AR33"/>
  <c r="AH33"/>
  <c r="G33" i="18" s="1"/>
  <c r="AG33" i="12"/>
  <c r="AF33"/>
  <c r="AC33"/>
  <c r="Z33"/>
  <c r="V33"/>
  <c r="U33"/>
  <c r="C33" i="18" s="1"/>
  <c r="E33" i="12"/>
  <c r="BF32"/>
  <c r="S32" i="18" s="1"/>
  <c r="BE32" i="12"/>
  <c r="BD32"/>
  <c r="BA32"/>
  <c r="AT32"/>
  <c r="AS32"/>
  <c r="AR32"/>
  <c r="AO32"/>
  <c r="AH32"/>
  <c r="G32" i="18" s="1"/>
  <c r="AG32" i="12"/>
  <c r="AF32"/>
  <c r="AC32"/>
  <c r="Z32"/>
  <c r="V32"/>
  <c r="U32"/>
  <c r="C32" i="18" s="1"/>
  <c r="E32" i="12"/>
  <c r="BF31"/>
  <c r="S31" i="18" s="1"/>
  <c r="BE31" i="12"/>
  <c r="BD31"/>
  <c r="BA31"/>
  <c r="AT31"/>
  <c r="AS31"/>
  <c r="AR31"/>
  <c r="AO31"/>
  <c r="AH31"/>
  <c r="G31" i="18" s="1"/>
  <c r="AG31" i="12"/>
  <c r="AF31"/>
  <c r="AC31"/>
  <c r="Z31"/>
  <c r="V31"/>
  <c r="U31"/>
  <c r="C31" i="18" s="1"/>
  <c r="E31" i="12"/>
  <c r="S30" i="18"/>
  <c r="BD30" i="12"/>
  <c r="BA30"/>
  <c r="AT30"/>
  <c r="AS30"/>
  <c r="AR30"/>
  <c r="AO30"/>
  <c r="AH30"/>
  <c r="G30" i="18" s="1"/>
  <c r="AG30" i="12"/>
  <c r="AF30"/>
  <c r="AC30"/>
  <c r="Z30"/>
  <c r="V30"/>
  <c r="U30"/>
  <c r="C30" i="18" s="1"/>
  <c r="E30" i="12"/>
  <c r="BF29"/>
  <c r="S29" i="18" s="1"/>
  <c r="BE29" i="12"/>
  <c r="BD29"/>
  <c r="BA29"/>
  <c r="AT29"/>
  <c r="AS29"/>
  <c r="AR29"/>
  <c r="AO29"/>
  <c r="AH29"/>
  <c r="G29" i="18" s="1"/>
  <c r="AG29" i="12"/>
  <c r="AF29"/>
  <c r="AC29"/>
  <c r="Z29"/>
  <c r="V29"/>
  <c r="U29"/>
  <c r="C29" i="18" s="1"/>
  <c r="E29" i="12"/>
  <c r="BF28"/>
  <c r="S28" i="18" s="1"/>
  <c r="BE28" i="12"/>
  <c r="BD28"/>
  <c r="BA28"/>
  <c r="AT28"/>
  <c r="AS28"/>
  <c r="AR28"/>
  <c r="AO28"/>
  <c r="AH28"/>
  <c r="G28" i="18" s="1"/>
  <c r="AG28" i="12"/>
  <c r="AF28"/>
  <c r="AC28"/>
  <c r="Z28"/>
  <c r="V28"/>
  <c r="C28" i="18"/>
  <c r="E28" i="12"/>
  <c r="BF27"/>
  <c r="S27" i="18" s="1"/>
  <c r="BE27" i="12"/>
  <c r="BD27"/>
  <c r="BA27"/>
  <c r="AT27"/>
  <c r="AS27"/>
  <c r="AR27"/>
  <c r="AO27"/>
  <c r="AE41"/>
  <c r="AD41"/>
  <c r="O41" i="23" s="1"/>
  <c r="AB41" i="12"/>
  <c r="AA41"/>
  <c r="Y41"/>
  <c r="X41"/>
  <c r="V27"/>
  <c r="U27"/>
  <c r="C27" i="18" s="1"/>
  <c r="E27" i="12"/>
  <c r="BF26"/>
  <c r="S26" i="18" s="1"/>
  <c r="BE26" i="12"/>
  <c r="BD26"/>
  <c r="BA26"/>
  <c r="AT26"/>
  <c r="AS26"/>
  <c r="AR26"/>
  <c r="AO26"/>
  <c r="AH26"/>
  <c r="G26" i="18" s="1"/>
  <c r="AG26" i="12"/>
  <c r="AF26"/>
  <c r="AC26"/>
  <c r="Z26"/>
  <c r="V26"/>
  <c r="U26"/>
  <c r="C26" i="18" s="1"/>
  <c r="E26" i="12"/>
  <c r="BF25"/>
  <c r="S25" i="18" s="1"/>
  <c r="BE25" i="12"/>
  <c r="BD25"/>
  <c r="BA25"/>
  <c r="AT25"/>
  <c r="AS25"/>
  <c r="AR25"/>
  <c r="AO25"/>
  <c r="AH25"/>
  <c r="G25" i="18" s="1"/>
  <c r="AG25" i="12"/>
  <c r="AF25"/>
  <c r="Q25" i="23" s="1"/>
  <c r="AC25" i="12"/>
  <c r="Z25"/>
  <c r="V25"/>
  <c r="U25"/>
  <c r="C25" i="18" s="1"/>
  <c r="E25" i="12"/>
  <c r="BF24"/>
  <c r="BE24"/>
  <c r="H23" i="36" s="1"/>
  <c r="BD24" i="12"/>
  <c r="BA24"/>
  <c r="AT24"/>
  <c r="I23" i="36" s="1"/>
  <c r="AS24" i="12"/>
  <c r="F23" i="36" s="1"/>
  <c r="AR24" i="12"/>
  <c r="T24" i="23" s="1"/>
  <c r="AO24" i="12"/>
  <c r="AH24"/>
  <c r="AG24"/>
  <c r="D23" i="36" s="1"/>
  <c r="AF24" i="12"/>
  <c r="Q24" i="23" s="1"/>
  <c r="AC24" i="12"/>
  <c r="Z24"/>
  <c r="V24"/>
  <c r="C23" i="36" s="1"/>
  <c r="U24" i="12"/>
  <c r="E24"/>
  <c r="BF23"/>
  <c r="S23" i="18" s="1"/>
  <c r="BE23" i="12"/>
  <c r="BD23"/>
  <c r="BA23"/>
  <c r="AT23"/>
  <c r="AS23"/>
  <c r="AR23"/>
  <c r="T23" i="23" s="1"/>
  <c r="AO23" i="12"/>
  <c r="AH23"/>
  <c r="G23" i="18" s="1"/>
  <c r="AG23" i="12"/>
  <c r="AF23"/>
  <c r="Q23" i="23" s="1"/>
  <c r="AC23" i="12"/>
  <c r="Z23"/>
  <c r="V23"/>
  <c r="D23" i="18" s="1"/>
  <c r="U23" i="12"/>
  <c r="C23" i="18" s="1"/>
  <c r="E23" i="12"/>
  <c r="BF22"/>
  <c r="S22" i="18" s="1"/>
  <c r="BE22" i="12"/>
  <c r="BA22"/>
  <c r="AT22"/>
  <c r="AS22"/>
  <c r="AR22"/>
  <c r="AO22"/>
  <c r="AH22"/>
  <c r="G22" i="18" s="1"/>
  <c r="AG22" i="12"/>
  <c r="AF22"/>
  <c r="AC22"/>
  <c r="Z22"/>
  <c r="V22"/>
  <c r="D22" i="18" s="1"/>
  <c r="U22" i="12"/>
  <c r="C22" i="18" s="1"/>
  <c r="E22" i="12"/>
  <c r="BF21"/>
  <c r="S21" i="18" s="1"/>
  <c r="BE21" i="12"/>
  <c r="BD21"/>
  <c r="BA21"/>
  <c r="AT21"/>
  <c r="AS21"/>
  <c r="AR21"/>
  <c r="AO21"/>
  <c r="AH21"/>
  <c r="G21" i="18" s="1"/>
  <c r="AG21" i="12"/>
  <c r="AF21"/>
  <c r="AC21"/>
  <c r="Z21"/>
  <c r="V21"/>
  <c r="D21" i="18" s="1"/>
  <c r="U21" i="12"/>
  <c r="C21" i="18" s="1"/>
  <c r="E21" i="12"/>
  <c r="BF20"/>
  <c r="S20" i="18" s="1"/>
  <c r="BE20" i="12"/>
  <c r="BD20"/>
  <c r="BA20"/>
  <c r="AT20"/>
  <c r="AS20"/>
  <c r="AR20"/>
  <c r="AO20"/>
  <c r="AH20"/>
  <c r="G20" i="18" s="1"/>
  <c r="AG20" i="12"/>
  <c r="AF20"/>
  <c r="AC20"/>
  <c r="Z20"/>
  <c r="V20"/>
  <c r="D20" i="18" s="1"/>
  <c r="U20" i="12"/>
  <c r="C20" i="18" s="1"/>
  <c r="E20" i="12"/>
  <c r="BF19"/>
  <c r="S19" i="18" s="1"/>
  <c r="BE19" i="12"/>
  <c r="BD19"/>
  <c r="AT19"/>
  <c r="AS19"/>
  <c r="AR19"/>
  <c r="AO19"/>
  <c r="AH19"/>
  <c r="G19" i="18" s="1"/>
  <c r="AG19" i="12"/>
  <c r="AF19"/>
  <c r="AC19"/>
  <c r="Z19"/>
  <c r="V19"/>
  <c r="D19" i="18" s="1"/>
  <c r="U19" i="12"/>
  <c r="C19" i="18" s="1"/>
  <c r="BF18" i="12"/>
  <c r="S18" i="18" s="1"/>
  <c r="BE18" i="12"/>
  <c r="BD18"/>
  <c r="BA18"/>
  <c r="AT18"/>
  <c r="AS18"/>
  <c r="AR18"/>
  <c r="AO18"/>
  <c r="AH18"/>
  <c r="AG18"/>
  <c r="AF18"/>
  <c r="AC18"/>
  <c r="Z18"/>
  <c r="V18"/>
  <c r="D18" i="18" s="1"/>
  <c r="U18" i="12"/>
  <c r="BF17"/>
  <c r="BE17"/>
  <c r="BD17"/>
  <c r="BA17"/>
  <c r="AT17"/>
  <c r="AS17"/>
  <c r="AR17"/>
  <c r="AO17"/>
  <c r="AH17"/>
  <c r="AG17"/>
  <c r="AF17"/>
  <c r="AC17"/>
  <c r="Z17"/>
  <c r="BF16"/>
  <c r="BE16"/>
  <c r="BF15"/>
  <c r="BE15"/>
  <c r="BD15"/>
  <c r="BA15"/>
  <c r="AT15"/>
  <c r="AS15"/>
  <c r="AR15"/>
  <c r="AO15"/>
  <c r="AH15"/>
  <c r="AG15"/>
  <c r="AF15"/>
  <c r="AC15"/>
  <c r="Z15"/>
  <c r="V15"/>
  <c r="U15"/>
  <c r="E15"/>
  <c r="BF14"/>
  <c r="BE14"/>
  <c r="BD14"/>
  <c r="BA14"/>
  <c r="AT14"/>
  <c r="AS14"/>
  <c r="AR14"/>
  <c r="AO14"/>
  <c r="AH14"/>
  <c r="AG14"/>
  <c r="AF14"/>
  <c r="AC14"/>
  <c r="Z14"/>
  <c r="V14"/>
  <c r="U14"/>
  <c r="E14"/>
  <c r="BD13"/>
  <c r="BA13"/>
  <c r="AT13"/>
  <c r="AS13"/>
  <c r="AR13"/>
  <c r="AO13"/>
  <c r="AH13"/>
  <c r="AG13"/>
  <c r="AF13"/>
  <c r="AC13"/>
  <c r="Z13"/>
  <c r="V13"/>
  <c r="U13"/>
  <c r="E13"/>
  <c r="BF12"/>
  <c r="BE12"/>
  <c r="BD12"/>
  <c r="BA12"/>
  <c r="AT12"/>
  <c r="AS12"/>
  <c r="AR12"/>
  <c r="AO12"/>
  <c r="AH12"/>
  <c r="AG12"/>
  <c r="AF12"/>
  <c r="AC12"/>
  <c r="Z12"/>
  <c r="V12"/>
  <c r="U12"/>
  <c r="BF11"/>
  <c r="BE11"/>
  <c r="BD11"/>
  <c r="BA11"/>
  <c r="AT11"/>
  <c r="AS11"/>
  <c r="AR11"/>
  <c r="AH11"/>
  <c r="AG11"/>
  <c r="AF11"/>
  <c r="AC11"/>
  <c r="Z11"/>
  <c r="V11"/>
  <c r="U11"/>
  <c r="BF10"/>
  <c r="BE10"/>
  <c r="BD10"/>
  <c r="BA10"/>
  <c r="AT10"/>
  <c r="AS10"/>
  <c r="AR10"/>
  <c r="AO10"/>
  <c r="AH10"/>
  <c r="AG10"/>
  <c r="AF10"/>
  <c r="AC10"/>
  <c r="Z10"/>
  <c r="V10"/>
  <c r="U10"/>
  <c r="E10"/>
  <c r="BC41"/>
  <c r="BB41"/>
  <c r="AY41"/>
  <c r="AT9"/>
  <c r="AS9"/>
  <c r="AR9"/>
  <c r="AO9"/>
  <c r="AH9"/>
  <c r="AG9"/>
  <c r="AF9"/>
  <c r="AC9"/>
  <c r="Z9"/>
  <c r="V9"/>
  <c r="U9"/>
  <c r="BE8"/>
  <c r="BD8"/>
  <c r="AT8"/>
  <c r="AR8"/>
  <c r="AO8"/>
  <c r="AH8"/>
  <c r="AG8"/>
  <c r="AF8"/>
  <c r="Z8"/>
  <c r="V8"/>
  <c r="U8"/>
  <c r="E8"/>
  <c r="BF7"/>
  <c r="BE7"/>
  <c r="BD7"/>
  <c r="BA7"/>
  <c r="AT7"/>
  <c r="AS7"/>
  <c r="AR7"/>
  <c r="T7" i="23" s="1"/>
  <c r="AH7" i="12"/>
  <c r="AG7"/>
  <c r="AF7"/>
  <c r="Q7" i="23" s="1"/>
  <c r="AC7" i="12"/>
  <c r="Z7"/>
  <c r="V7"/>
  <c r="U7"/>
  <c r="E7"/>
  <c r="BF6"/>
  <c r="BE6"/>
  <c r="BD6"/>
  <c r="BA6"/>
  <c r="AT6"/>
  <c r="AS6"/>
  <c r="AR6"/>
  <c r="AO6"/>
  <c r="AH6"/>
  <c r="AG6"/>
  <c r="AF6"/>
  <c r="AC6"/>
  <c r="Z6"/>
  <c r="V6"/>
  <c r="U6"/>
  <c r="E6"/>
  <c r="I2"/>
  <c r="O2" s="1"/>
  <c r="U2" s="1"/>
  <c r="AA2" s="1"/>
  <c r="AG2" s="1"/>
  <c r="AM2" s="1"/>
  <c r="AS2" s="1"/>
  <c r="AY2" s="1"/>
  <c r="BE2" s="1"/>
  <c r="I1"/>
  <c r="O1" s="1"/>
  <c r="U1" s="1"/>
  <c r="AA1" s="1"/>
  <c r="AG1" s="1"/>
  <c r="AM1" s="1"/>
  <c r="AS1" s="1"/>
  <c r="AY1" s="1"/>
  <c r="BE1" s="1"/>
  <c r="BH17" l="1"/>
  <c r="AV17"/>
  <c r="AJ17"/>
  <c r="BI17"/>
  <c r="AW17"/>
  <c r="AK17"/>
  <c r="BH13"/>
  <c r="AO41" i="14"/>
  <c r="BI13" i="12"/>
  <c r="BD41" i="14"/>
  <c r="C34" i="37"/>
  <c r="I39"/>
  <c r="H34"/>
  <c r="I34"/>
  <c r="F34"/>
  <c r="D34"/>
  <c r="H39"/>
  <c r="F39"/>
  <c r="D39"/>
  <c r="C39"/>
  <c r="H12"/>
  <c r="F12"/>
  <c r="D12"/>
  <c r="C12"/>
  <c r="R6" i="21"/>
  <c r="H5" i="37"/>
  <c r="BF41" i="14"/>
  <c r="S6" i="21"/>
  <c r="R7"/>
  <c r="H6" i="37"/>
  <c r="R8" i="21"/>
  <c r="H7" i="37"/>
  <c r="R9" i="21"/>
  <c r="H8" i="37"/>
  <c r="R10" i="21"/>
  <c r="H9" i="37"/>
  <c r="R11" i="21"/>
  <c r="H10" i="37"/>
  <c r="R12" i="21"/>
  <c r="H11" i="34" s="1"/>
  <c r="H11" i="37"/>
  <c r="R14" i="21"/>
  <c r="H13" i="34" s="1"/>
  <c r="H13" i="37"/>
  <c r="R15" i="21"/>
  <c r="H14" i="34" s="1"/>
  <c r="H14" i="37"/>
  <c r="R16" i="21"/>
  <c r="H15" i="37"/>
  <c r="U16" i="21"/>
  <c r="S16"/>
  <c r="I15" i="37"/>
  <c r="V16" i="21"/>
  <c r="R17"/>
  <c r="H16" i="34" s="1"/>
  <c r="H16" i="37"/>
  <c r="R18" i="21"/>
  <c r="H17" i="37"/>
  <c r="R19" i="21"/>
  <c r="H18" i="34" s="1"/>
  <c r="H18" i="37"/>
  <c r="R20" i="21"/>
  <c r="H19" i="37"/>
  <c r="R21" i="21"/>
  <c r="H20" i="34" s="1"/>
  <c r="H20" i="37"/>
  <c r="R22" i="21"/>
  <c r="H21" i="37"/>
  <c r="R23" i="21"/>
  <c r="H22" i="34" s="1"/>
  <c r="H22" i="37"/>
  <c r="R24" i="21"/>
  <c r="H23" i="37"/>
  <c r="R25" i="21"/>
  <c r="H24" i="34" s="1"/>
  <c r="H24" i="37"/>
  <c r="R27" i="21"/>
  <c r="H26" i="37"/>
  <c r="R28" i="21"/>
  <c r="H27" i="34" s="1"/>
  <c r="H27" i="37"/>
  <c r="R29" i="21"/>
  <c r="H28" i="37"/>
  <c r="R30" i="21"/>
  <c r="H29" i="37"/>
  <c r="R31" i="21"/>
  <c r="H30" i="37"/>
  <c r="R32" i="21"/>
  <c r="H31" i="37"/>
  <c r="R33" i="21"/>
  <c r="H32" i="37"/>
  <c r="R34" i="21"/>
  <c r="H33" i="37"/>
  <c r="R36" i="21"/>
  <c r="H35" i="37"/>
  <c r="R37" i="21"/>
  <c r="H36" i="37"/>
  <c r="H37"/>
  <c r="R39" i="21"/>
  <c r="H38" i="37"/>
  <c r="L6" i="21"/>
  <c r="U6"/>
  <c r="F5" i="37"/>
  <c r="I5"/>
  <c r="M6" i="21"/>
  <c r="V6"/>
  <c r="L7"/>
  <c r="U7"/>
  <c r="F6" i="37"/>
  <c r="I6"/>
  <c r="M7" i="21"/>
  <c r="V7"/>
  <c r="L8"/>
  <c r="U8"/>
  <c r="F7" i="37"/>
  <c r="I7"/>
  <c r="M8" i="21"/>
  <c r="V8"/>
  <c r="L9"/>
  <c r="U9"/>
  <c r="F8" i="37"/>
  <c r="I8"/>
  <c r="M9" i="21"/>
  <c r="V9"/>
  <c r="L10"/>
  <c r="U10"/>
  <c r="F9" i="37"/>
  <c r="I9"/>
  <c r="M10" i="21"/>
  <c r="V10"/>
  <c r="L11"/>
  <c r="U11"/>
  <c r="F10" i="37"/>
  <c r="I10"/>
  <c r="M11" i="21"/>
  <c r="V11"/>
  <c r="L12"/>
  <c r="U12"/>
  <c r="F11" i="37"/>
  <c r="I11"/>
  <c r="M12" i="21"/>
  <c r="V12"/>
  <c r="L14"/>
  <c r="U14"/>
  <c r="F13" i="37"/>
  <c r="I13"/>
  <c r="M14" i="21"/>
  <c r="V14"/>
  <c r="L15"/>
  <c r="U15"/>
  <c r="F14" i="37"/>
  <c r="I14"/>
  <c r="M15" i="21"/>
  <c r="V15"/>
  <c r="L17"/>
  <c r="U17"/>
  <c r="F16" i="37"/>
  <c r="I16"/>
  <c r="M17" i="21"/>
  <c r="V17"/>
  <c r="L18"/>
  <c r="U18"/>
  <c r="F17" i="37"/>
  <c r="I17"/>
  <c r="M18" i="21"/>
  <c r="V18"/>
  <c r="L19"/>
  <c r="U19"/>
  <c r="F18" i="37"/>
  <c r="I18"/>
  <c r="M19" i="21"/>
  <c r="V19"/>
  <c r="L20"/>
  <c r="U20"/>
  <c r="F19" i="37"/>
  <c r="I19"/>
  <c r="M20" i="21"/>
  <c r="V20"/>
  <c r="L21"/>
  <c r="U21"/>
  <c r="F20" i="37"/>
  <c r="I20"/>
  <c r="M21" i="21"/>
  <c r="V21"/>
  <c r="L22"/>
  <c r="U22"/>
  <c r="F21" i="37"/>
  <c r="I21"/>
  <c r="M22" i="21"/>
  <c r="V22"/>
  <c r="L23"/>
  <c r="U23"/>
  <c r="F22" i="37"/>
  <c r="I22"/>
  <c r="M23" i="21"/>
  <c r="V23"/>
  <c r="L24"/>
  <c r="U24"/>
  <c r="F23" i="37"/>
  <c r="I23"/>
  <c r="M24" i="21"/>
  <c r="V24"/>
  <c r="L25"/>
  <c r="U25"/>
  <c r="F24" i="37"/>
  <c r="I24"/>
  <c r="M25" i="21"/>
  <c r="V25"/>
  <c r="L27"/>
  <c r="U27"/>
  <c r="F26" i="37"/>
  <c r="I26"/>
  <c r="M27" i="21"/>
  <c r="V27"/>
  <c r="L28"/>
  <c r="U28"/>
  <c r="F27" i="37"/>
  <c r="I27"/>
  <c r="M28" i="21"/>
  <c r="V28"/>
  <c r="L29"/>
  <c r="U29"/>
  <c r="F28" i="37"/>
  <c r="I28"/>
  <c r="M29" i="21"/>
  <c r="V29"/>
  <c r="L30"/>
  <c r="U30"/>
  <c r="F29" i="37"/>
  <c r="I29"/>
  <c r="M30" i="21"/>
  <c r="V30"/>
  <c r="L31"/>
  <c r="U31"/>
  <c r="F30" i="37"/>
  <c r="I30"/>
  <c r="M31" i="21"/>
  <c r="V31"/>
  <c r="L32"/>
  <c r="U32"/>
  <c r="F31" i="37"/>
  <c r="I31"/>
  <c r="M32" i="21"/>
  <c r="V32"/>
  <c r="L33"/>
  <c r="U33"/>
  <c r="F32" i="37"/>
  <c r="I32"/>
  <c r="M33" i="21"/>
  <c r="V33"/>
  <c r="L34"/>
  <c r="U34"/>
  <c r="F33" i="37"/>
  <c r="I33"/>
  <c r="M34" i="21"/>
  <c r="V34"/>
  <c r="L36"/>
  <c r="U36"/>
  <c r="F35" i="37"/>
  <c r="I35"/>
  <c r="M36" i="21"/>
  <c r="V36"/>
  <c r="L37"/>
  <c r="U37"/>
  <c r="F36" i="37"/>
  <c r="I36"/>
  <c r="M37" i="21"/>
  <c r="V37"/>
  <c r="F37" i="37"/>
  <c r="I37"/>
  <c r="L39" i="21"/>
  <c r="U39"/>
  <c r="F38" i="37"/>
  <c r="I38"/>
  <c r="M39" i="21"/>
  <c r="V39"/>
  <c r="F6"/>
  <c r="D5" i="37"/>
  <c r="F7" i="21"/>
  <c r="D6" i="37"/>
  <c r="F8" i="21"/>
  <c r="D7" i="37"/>
  <c r="F9" i="21"/>
  <c r="D8" i="37"/>
  <c r="F10" i="21"/>
  <c r="D9" i="37"/>
  <c r="F11" i="21"/>
  <c r="D10" i="37"/>
  <c r="F12" i="21"/>
  <c r="D11" i="34" s="1"/>
  <c r="D11" i="37"/>
  <c r="F14" i="21"/>
  <c r="D13" i="37"/>
  <c r="F15" i="21"/>
  <c r="D14" i="34" s="1"/>
  <c r="D14" i="37"/>
  <c r="F17" i="21"/>
  <c r="D16" i="37"/>
  <c r="F18" i="21"/>
  <c r="D17" i="37"/>
  <c r="F19" i="21"/>
  <c r="D18" i="37"/>
  <c r="F20" i="21"/>
  <c r="D19" i="37"/>
  <c r="F21" i="21"/>
  <c r="D20" i="37"/>
  <c r="F22" i="21"/>
  <c r="D21" i="34" s="1"/>
  <c r="D21" i="37"/>
  <c r="F23" i="21"/>
  <c r="D22" i="37"/>
  <c r="F24" i="21"/>
  <c r="D23" i="34" s="1"/>
  <c r="D23" i="37"/>
  <c r="F25" i="21"/>
  <c r="D24" i="37"/>
  <c r="F27" i="21"/>
  <c r="D26" i="37"/>
  <c r="F28" i="21"/>
  <c r="D27" i="37"/>
  <c r="F29" i="21"/>
  <c r="D28" i="34" s="1"/>
  <c r="D28" i="37"/>
  <c r="F30" i="21"/>
  <c r="D29" i="37"/>
  <c r="F31" i="21"/>
  <c r="D30" i="37"/>
  <c r="F32" i="21"/>
  <c r="D31" i="37"/>
  <c r="F33" i="21"/>
  <c r="D32" i="37"/>
  <c r="F34" i="21"/>
  <c r="D33" i="37"/>
  <c r="F36" i="21"/>
  <c r="D35" i="37"/>
  <c r="F37" i="21"/>
  <c r="D36" i="37"/>
  <c r="D37"/>
  <c r="F39" i="21"/>
  <c r="D38" i="37"/>
  <c r="C6" i="21"/>
  <c r="C5" i="37"/>
  <c r="D6" i="21"/>
  <c r="C7"/>
  <c r="C6" i="37"/>
  <c r="D7" i="21"/>
  <c r="C8"/>
  <c r="C7" i="37"/>
  <c r="D8" i="21"/>
  <c r="C9"/>
  <c r="C8" i="37"/>
  <c r="D9" i="21"/>
  <c r="C10"/>
  <c r="C9" i="37"/>
  <c r="D10" i="21"/>
  <c r="C11"/>
  <c r="C10" i="37"/>
  <c r="D11" i="21"/>
  <c r="C12"/>
  <c r="C11" i="37"/>
  <c r="D12" i="21"/>
  <c r="C14"/>
  <c r="C13" i="37"/>
  <c r="D14" i="21"/>
  <c r="C15"/>
  <c r="C14" i="37"/>
  <c r="D15" i="21"/>
  <c r="C17"/>
  <c r="C16" i="37"/>
  <c r="D17" i="21"/>
  <c r="C18"/>
  <c r="C17" i="37"/>
  <c r="D18" i="21"/>
  <c r="C19"/>
  <c r="C18" i="37"/>
  <c r="D19" i="21"/>
  <c r="C20"/>
  <c r="C19" i="37"/>
  <c r="D20" i="21"/>
  <c r="C21"/>
  <c r="C20" i="37"/>
  <c r="D21" i="21"/>
  <c r="C22"/>
  <c r="C21" i="37"/>
  <c r="D22" i="21"/>
  <c r="C22" i="37"/>
  <c r="D23" i="21"/>
  <c r="C24"/>
  <c r="C23" i="37"/>
  <c r="D24" i="21"/>
  <c r="C25"/>
  <c r="C24" i="37"/>
  <c r="D25" i="21"/>
  <c r="C27"/>
  <c r="C26" i="37"/>
  <c r="D27" i="21"/>
  <c r="C27" i="37"/>
  <c r="D28" i="21"/>
  <c r="C28" i="37"/>
  <c r="D29" i="21"/>
  <c r="C29" i="37"/>
  <c r="D30" i="21"/>
  <c r="C30" i="37"/>
  <c r="D31" i="21"/>
  <c r="C31" i="37"/>
  <c r="D32" i="21"/>
  <c r="C32" i="37"/>
  <c r="D33" i="21"/>
  <c r="C33" i="37"/>
  <c r="D34" i="21"/>
  <c r="C35" i="37"/>
  <c r="D36" i="21"/>
  <c r="C36" i="37"/>
  <c r="D37" i="21"/>
  <c r="C37" i="37"/>
  <c r="C38"/>
  <c r="D39" i="21"/>
  <c r="R6" i="18"/>
  <c r="H5" i="36"/>
  <c r="S6" i="18"/>
  <c r="H6" i="36"/>
  <c r="H6" i="33"/>
  <c r="R8" i="18"/>
  <c r="R10"/>
  <c r="H9" i="36"/>
  <c r="S10" i="18"/>
  <c r="R11"/>
  <c r="H10" i="36"/>
  <c r="S11" i="18"/>
  <c r="R12"/>
  <c r="H11" i="36"/>
  <c r="S12" i="18"/>
  <c r="R13"/>
  <c r="H12" i="36"/>
  <c r="S13" i="18"/>
  <c r="R14"/>
  <c r="H13" i="36"/>
  <c r="S14" i="18"/>
  <c r="R15"/>
  <c r="H14" i="36"/>
  <c r="S15" i="18"/>
  <c r="R16"/>
  <c r="H15" i="36"/>
  <c r="U16" i="18"/>
  <c r="S16"/>
  <c r="I15" i="36"/>
  <c r="V16" i="18"/>
  <c r="R17"/>
  <c r="H16" i="36"/>
  <c r="S17" i="18"/>
  <c r="R18"/>
  <c r="H17" i="36"/>
  <c r="R19" i="18"/>
  <c r="H18" i="36"/>
  <c r="R20" i="18"/>
  <c r="H19" i="36"/>
  <c r="R21" i="18"/>
  <c r="H20" i="36"/>
  <c r="R22" i="18"/>
  <c r="H21" i="36"/>
  <c r="R23" i="18"/>
  <c r="H22" i="36"/>
  <c r="R25" i="18"/>
  <c r="H24" i="36"/>
  <c r="R26" i="18"/>
  <c r="H25" i="36"/>
  <c r="R27" i="18"/>
  <c r="H26" i="36"/>
  <c r="R28" i="18"/>
  <c r="H27" i="36"/>
  <c r="R29" i="18"/>
  <c r="H28" i="36"/>
  <c r="R30" i="18"/>
  <c r="H29" i="36"/>
  <c r="R31" i="18"/>
  <c r="H30" i="36"/>
  <c r="R32" i="18"/>
  <c r="H31" i="36"/>
  <c r="R33" i="18"/>
  <c r="H32" i="36"/>
  <c r="R35" i="18"/>
  <c r="H34" i="36"/>
  <c r="R36" i="18"/>
  <c r="H35" i="36"/>
  <c r="R37" i="18"/>
  <c r="H36" i="36"/>
  <c r="R38" i="18"/>
  <c r="H37" i="36"/>
  <c r="R40" i="18"/>
  <c r="H39" i="36"/>
  <c r="U6" i="18"/>
  <c r="L6"/>
  <c r="F5" i="36"/>
  <c r="I5"/>
  <c r="V6" i="18"/>
  <c r="M6"/>
  <c r="F6" i="36"/>
  <c r="I6"/>
  <c r="F6" i="33"/>
  <c r="I6"/>
  <c r="L8" i="18"/>
  <c r="U8"/>
  <c r="F7" i="36"/>
  <c r="M8" i="18"/>
  <c r="L9"/>
  <c r="F8" i="36"/>
  <c r="M9" i="18"/>
  <c r="L10"/>
  <c r="U10"/>
  <c r="F9" i="36"/>
  <c r="I9"/>
  <c r="M10" i="18"/>
  <c r="V10"/>
  <c r="L11"/>
  <c r="U11"/>
  <c r="F10" i="36"/>
  <c r="I10"/>
  <c r="M11" i="18"/>
  <c r="V11"/>
  <c r="L12"/>
  <c r="U12"/>
  <c r="F11" i="36"/>
  <c r="I11"/>
  <c r="M12" i="18"/>
  <c r="V12"/>
  <c r="L13"/>
  <c r="U13"/>
  <c r="F12" i="36"/>
  <c r="I12"/>
  <c r="M13" i="18"/>
  <c r="V13"/>
  <c r="L14"/>
  <c r="U14"/>
  <c r="F13" i="36"/>
  <c r="I13"/>
  <c r="M14" i="18"/>
  <c r="V14"/>
  <c r="L15"/>
  <c r="U15"/>
  <c r="F14" i="36"/>
  <c r="I14"/>
  <c r="M15" i="18"/>
  <c r="V15"/>
  <c r="L17"/>
  <c r="U17"/>
  <c r="F16" i="36"/>
  <c r="I16"/>
  <c r="M17" i="18"/>
  <c r="V17"/>
  <c r="L18"/>
  <c r="U18"/>
  <c r="F17" i="36"/>
  <c r="I17"/>
  <c r="M18" i="18"/>
  <c r="V18"/>
  <c r="L19"/>
  <c r="U19"/>
  <c r="F18" i="36"/>
  <c r="I18"/>
  <c r="M19" i="18"/>
  <c r="V19"/>
  <c r="L20"/>
  <c r="U20"/>
  <c r="F19" i="36"/>
  <c r="I19"/>
  <c r="M20" i="18"/>
  <c r="V20"/>
  <c r="L21"/>
  <c r="U21"/>
  <c r="F20" i="36"/>
  <c r="I20"/>
  <c r="M21" i="18"/>
  <c r="V21"/>
  <c r="L22"/>
  <c r="U22"/>
  <c r="F21" i="36"/>
  <c r="I21"/>
  <c r="M22" i="18"/>
  <c r="V22"/>
  <c r="L23"/>
  <c r="U23"/>
  <c r="F22" i="36"/>
  <c r="I22"/>
  <c r="M23" i="18"/>
  <c r="V23"/>
  <c r="L25"/>
  <c r="U25"/>
  <c r="F24" i="36"/>
  <c r="I24"/>
  <c r="M25" i="18"/>
  <c r="V25"/>
  <c r="L26"/>
  <c r="U26"/>
  <c r="F25" i="36"/>
  <c r="I25"/>
  <c r="M26" i="18"/>
  <c r="V26"/>
  <c r="L27"/>
  <c r="U27"/>
  <c r="F26" i="36"/>
  <c r="I26"/>
  <c r="M27" i="18"/>
  <c r="V27"/>
  <c r="L28"/>
  <c r="U28"/>
  <c r="F27" i="36"/>
  <c r="I27"/>
  <c r="M28" i="18"/>
  <c r="V28"/>
  <c r="L29"/>
  <c r="U29"/>
  <c r="F28" i="36"/>
  <c r="I28"/>
  <c r="M29" i="18"/>
  <c r="V29"/>
  <c r="L30"/>
  <c r="U30"/>
  <c r="F29" i="36"/>
  <c r="I29"/>
  <c r="M30" i="18"/>
  <c r="V30"/>
  <c r="L31"/>
  <c r="U31"/>
  <c r="F30" i="36"/>
  <c r="I30"/>
  <c r="M31" i="18"/>
  <c r="V31"/>
  <c r="L32"/>
  <c r="U32"/>
  <c r="F31" i="36"/>
  <c r="I31"/>
  <c r="M32" i="18"/>
  <c r="V32"/>
  <c r="L33"/>
  <c r="U33"/>
  <c r="F32" i="36"/>
  <c r="I32"/>
  <c r="M33" i="18"/>
  <c r="V33"/>
  <c r="L35"/>
  <c r="U35"/>
  <c r="F34" i="36"/>
  <c r="I34"/>
  <c r="M35" i="18"/>
  <c r="V35"/>
  <c r="L36"/>
  <c r="U36"/>
  <c r="F35" i="36"/>
  <c r="I35"/>
  <c r="M36" i="18"/>
  <c r="V36"/>
  <c r="L37"/>
  <c r="U37"/>
  <c r="F36" i="36"/>
  <c r="I36"/>
  <c r="M37" i="18"/>
  <c r="V37"/>
  <c r="L38"/>
  <c r="U38"/>
  <c r="F37" i="36"/>
  <c r="I37"/>
  <c r="M38" i="18"/>
  <c r="V38"/>
  <c r="L40"/>
  <c r="U40"/>
  <c r="F39" i="36"/>
  <c r="I39"/>
  <c r="M40" i="18"/>
  <c r="V40"/>
  <c r="F6"/>
  <c r="D5" i="36"/>
  <c r="G6" i="18"/>
  <c r="D6" i="36"/>
  <c r="D6" i="33"/>
  <c r="F8" i="18"/>
  <c r="D7" i="36"/>
  <c r="G8" i="18"/>
  <c r="F9"/>
  <c r="D8" i="36"/>
  <c r="G9" i="18"/>
  <c r="F10"/>
  <c r="D9" i="36"/>
  <c r="G10" i="18"/>
  <c r="F11"/>
  <c r="D10" i="36"/>
  <c r="G11" i="18"/>
  <c r="F12"/>
  <c r="D11" i="36"/>
  <c r="G12" i="18"/>
  <c r="F13"/>
  <c r="D12" i="36"/>
  <c r="G13" i="18"/>
  <c r="F14"/>
  <c r="D13" i="36"/>
  <c r="G14" i="18"/>
  <c r="F15"/>
  <c r="D14" i="36"/>
  <c r="G15" i="18"/>
  <c r="F17"/>
  <c r="D16" i="36"/>
  <c r="G17" i="18"/>
  <c r="F18"/>
  <c r="D17" i="36"/>
  <c r="G18" i="18"/>
  <c r="F19"/>
  <c r="D18" i="36"/>
  <c r="F20" i="18"/>
  <c r="D19" i="36"/>
  <c r="F21" i="18"/>
  <c r="D20" i="36"/>
  <c r="F22" i="18"/>
  <c r="D21" i="36"/>
  <c r="F23" i="18"/>
  <c r="D22" i="36"/>
  <c r="F25" i="18"/>
  <c r="D24" i="36"/>
  <c r="F26" i="18"/>
  <c r="D25" i="36"/>
  <c r="F28" i="18"/>
  <c r="D27" i="36"/>
  <c r="F29" i="18"/>
  <c r="D28" i="36"/>
  <c r="F30" i="18"/>
  <c r="D29" i="36"/>
  <c r="F31" i="18"/>
  <c r="D30" i="36"/>
  <c r="F32" i="18"/>
  <c r="D31" i="36"/>
  <c r="F33" i="18"/>
  <c r="D32" i="36"/>
  <c r="F35" i="18"/>
  <c r="D34" i="36"/>
  <c r="F36" i="18"/>
  <c r="D35" i="36"/>
  <c r="F37" i="18"/>
  <c r="D36" i="36"/>
  <c r="F38" i="18"/>
  <c r="D37" i="36"/>
  <c r="F40" i="18"/>
  <c r="D39" i="36"/>
  <c r="C6" i="18"/>
  <c r="C5" i="36"/>
  <c r="D6" i="18"/>
  <c r="C6" i="36"/>
  <c r="C6" i="33"/>
  <c r="C8" i="18"/>
  <c r="C7" i="36"/>
  <c r="D8" i="18"/>
  <c r="C9"/>
  <c r="C8" i="36"/>
  <c r="D9" i="18"/>
  <c r="C10"/>
  <c r="C9" i="36"/>
  <c r="D10" i="18"/>
  <c r="C11"/>
  <c r="C10" i="36"/>
  <c r="D11" i="18"/>
  <c r="C12"/>
  <c r="C11" i="36"/>
  <c r="D12" i="18"/>
  <c r="C13"/>
  <c r="C12" i="36"/>
  <c r="D13" i="18"/>
  <c r="C14"/>
  <c r="C13" i="36"/>
  <c r="D14" i="18"/>
  <c r="C15"/>
  <c r="C14" i="36"/>
  <c r="D15" i="18"/>
  <c r="C17"/>
  <c r="C18"/>
  <c r="C17" i="36"/>
  <c r="C18"/>
  <c r="C19"/>
  <c r="C20"/>
  <c r="C21"/>
  <c r="C22"/>
  <c r="C24"/>
  <c r="D25" i="18"/>
  <c r="C25" i="36"/>
  <c r="D26" i="18"/>
  <c r="C26" i="36"/>
  <c r="D27" i="18"/>
  <c r="C27" i="36"/>
  <c r="D28" i="18"/>
  <c r="C28" i="36"/>
  <c r="D29" i="18"/>
  <c r="C29" i="36"/>
  <c r="D30" i="18"/>
  <c r="C30" i="36"/>
  <c r="D31" i="18"/>
  <c r="C31" i="36"/>
  <c r="D32" i="18"/>
  <c r="C32" i="36"/>
  <c r="D33" i="18"/>
  <c r="C34" i="36"/>
  <c r="D35" i="18"/>
  <c r="C35" i="36"/>
  <c r="D36" i="18"/>
  <c r="C36" i="36"/>
  <c r="D37" i="18"/>
  <c r="C37" i="36"/>
  <c r="D38" i="18"/>
  <c r="C39" i="36"/>
  <c r="D40" i="18"/>
  <c r="D15" i="34"/>
  <c r="H19"/>
  <c r="C15"/>
  <c r="W26" i="14"/>
  <c r="W35"/>
  <c r="H41"/>
  <c r="Q6" i="23"/>
  <c r="Q8"/>
  <c r="T8"/>
  <c r="Q9"/>
  <c r="T9"/>
  <c r="Q10"/>
  <c r="T10"/>
  <c r="Q11"/>
  <c r="T11"/>
  <c r="Q12"/>
  <c r="T12"/>
  <c r="Q13"/>
  <c r="T13"/>
  <c r="Q14"/>
  <c r="T14"/>
  <c r="Q15"/>
  <c r="T15"/>
  <c r="Q16"/>
  <c r="T16"/>
  <c r="Q17"/>
  <c r="T17"/>
  <c r="Q18"/>
  <c r="T18"/>
  <c r="Q19"/>
  <c r="T19"/>
  <c r="Q20"/>
  <c r="T20"/>
  <c r="Q21"/>
  <c r="T21"/>
  <c r="Q22"/>
  <c r="T22"/>
  <c r="P41"/>
  <c r="T27"/>
  <c r="Q28"/>
  <c r="T28"/>
  <c r="Q29"/>
  <c r="T29"/>
  <c r="Q30"/>
  <c r="T30"/>
  <c r="Q31"/>
  <c r="T31"/>
  <c r="Q32"/>
  <c r="T32"/>
  <c r="Q33"/>
  <c r="Q36"/>
  <c r="T36"/>
  <c r="Q37"/>
  <c r="T37"/>
  <c r="Q38"/>
  <c r="L41"/>
  <c r="R41"/>
  <c r="N6"/>
  <c r="N8"/>
  <c r="N10"/>
  <c r="N12"/>
  <c r="N14"/>
  <c r="N16"/>
  <c r="N18"/>
  <c r="N20"/>
  <c r="N22"/>
  <c r="N26"/>
  <c r="N28"/>
  <c r="N30"/>
  <c r="N32"/>
  <c r="N36"/>
  <c r="N38"/>
  <c r="N40"/>
  <c r="T38"/>
  <c r="T6"/>
  <c r="T25"/>
  <c r="Q26"/>
  <c r="T26"/>
  <c r="T33"/>
  <c r="Q40"/>
  <c r="T40"/>
  <c r="M41"/>
  <c r="S41"/>
  <c r="N31"/>
  <c r="N35"/>
  <c r="N37"/>
  <c r="W23" i="14"/>
  <c r="E23" i="21" s="1"/>
  <c r="W28" i="14"/>
  <c r="E28" i="21" s="1"/>
  <c r="AW28" i="14"/>
  <c r="P28" i="21" s="1"/>
  <c r="W29" i="14"/>
  <c r="E29" i="21" s="1"/>
  <c r="W30" i="14"/>
  <c r="E30" i="21" s="1"/>
  <c r="AW30" i="14"/>
  <c r="P30" i="21" s="1"/>
  <c r="W31" i="14"/>
  <c r="E31" i="21" s="1"/>
  <c r="W32" i="14"/>
  <c r="E32" i="21" s="1"/>
  <c r="AW32" i="14"/>
  <c r="P32" i="21" s="1"/>
  <c r="W33" i="14"/>
  <c r="E33" i="21" s="1"/>
  <c r="Z33" i="23"/>
  <c r="AW34" i="14"/>
  <c r="P34" i="21" s="1"/>
  <c r="AC34" i="23"/>
  <c r="AW36" i="14"/>
  <c r="P36" i="21" s="1"/>
  <c r="AW38" i="14"/>
  <c r="AC38" i="23"/>
  <c r="Z39"/>
  <c r="V41" i="14"/>
  <c r="U41" i="23"/>
  <c r="X41"/>
  <c r="AA41"/>
  <c r="W34"/>
  <c r="W36"/>
  <c r="W38"/>
  <c r="N41" i="14"/>
  <c r="AF41"/>
  <c r="Z6" i="23"/>
  <c r="AR41" i="14"/>
  <c r="AC6" i="23"/>
  <c r="AT41" i="14"/>
  <c r="W25"/>
  <c r="E25" i="21" s="1"/>
  <c r="W27" i="14"/>
  <c r="E27" i="21" s="1"/>
  <c r="AC33" i="23"/>
  <c r="W34" i="14"/>
  <c r="E34" i="21" s="1"/>
  <c r="Z34" i="23"/>
  <c r="W36" i="14"/>
  <c r="E36" i="21" s="1"/>
  <c r="Z36" i="23"/>
  <c r="AC36"/>
  <c r="W37" i="14"/>
  <c r="E37" i="21" s="1"/>
  <c r="Z37" i="23"/>
  <c r="AC37"/>
  <c r="W38" i="14"/>
  <c r="Z38" i="23"/>
  <c r="AC39"/>
  <c r="V41"/>
  <c r="Y41"/>
  <c r="AB41"/>
  <c r="T41" i="14"/>
  <c r="W7" i="23"/>
  <c r="W37"/>
  <c r="W39"/>
  <c r="BH6" i="14"/>
  <c r="BK6" s="1"/>
  <c r="AW7"/>
  <c r="P7" i="21" s="1"/>
  <c r="AI7" i="14"/>
  <c r="H7" i="21" s="1"/>
  <c r="AU7" i="14"/>
  <c r="BG7"/>
  <c r="T7" i="21" s="1"/>
  <c r="BI8" i="14"/>
  <c r="Y8" i="21" s="1"/>
  <c r="AI8" i="14"/>
  <c r="H8" i="21" s="1"/>
  <c r="AU8" i="14"/>
  <c r="BG8"/>
  <c r="T8" i="21" s="1"/>
  <c r="AW9" i="14"/>
  <c r="P9" i="21" s="1"/>
  <c r="AI9" i="14"/>
  <c r="H9" i="21" s="1"/>
  <c r="AU9" i="14"/>
  <c r="BG9"/>
  <c r="T9" i="21" s="1"/>
  <c r="BI10" i="14"/>
  <c r="Y10" i="21" s="1"/>
  <c r="AI10" i="14"/>
  <c r="H10" i="21" s="1"/>
  <c r="AU10" i="14"/>
  <c r="BG10"/>
  <c r="T10" i="21" s="1"/>
  <c r="AK11" i="14"/>
  <c r="J11" i="21" s="1"/>
  <c r="AI11" i="14"/>
  <c r="H11" i="21" s="1"/>
  <c r="AU11" i="14"/>
  <c r="BG11"/>
  <c r="T11" i="21" s="1"/>
  <c r="AW12" i="14"/>
  <c r="P12" i="21" s="1"/>
  <c r="AI12" i="14"/>
  <c r="H12" i="21" s="1"/>
  <c r="AU12" i="14"/>
  <c r="BG12"/>
  <c r="T12" i="21" s="1"/>
  <c r="AI13" i="14"/>
  <c r="AU13"/>
  <c r="BG13"/>
  <c r="AW14"/>
  <c r="P14" i="21" s="1"/>
  <c r="AI14" i="14"/>
  <c r="H14" i="21" s="1"/>
  <c r="AU14" i="14"/>
  <c r="BG14"/>
  <c r="T14" i="21" s="1"/>
  <c r="AI15" i="14"/>
  <c r="H15" i="21" s="1"/>
  <c r="AU15" i="14"/>
  <c r="BG15"/>
  <c r="T15" i="21" s="1"/>
  <c r="BG16" i="14"/>
  <c r="BI17"/>
  <c r="Y17" i="21" s="1"/>
  <c r="AI17" i="14"/>
  <c r="H17" i="21" s="1"/>
  <c r="AU17" i="14"/>
  <c r="BG17"/>
  <c r="T17" i="21" s="1"/>
  <c r="AW18" i="14"/>
  <c r="P18" i="21" s="1"/>
  <c r="AI18" i="14"/>
  <c r="H18" i="21" s="1"/>
  <c r="AU18" i="14"/>
  <c r="BG18"/>
  <c r="T18" i="21" s="1"/>
  <c r="BI19" i="14"/>
  <c r="Y19" i="21" s="1"/>
  <c r="AI19" i="14"/>
  <c r="H19" i="21" s="1"/>
  <c r="AU19" i="14"/>
  <c r="BG19"/>
  <c r="T19" i="21" s="1"/>
  <c r="AW20" i="14"/>
  <c r="P20" i="21" s="1"/>
  <c r="AI20" i="14"/>
  <c r="H20" i="21" s="1"/>
  <c r="AU20" i="14"/>
  <c r="BG20"/>
  <c r="T20" i="21" s="1"/>
  <c r="BI21" i="14"/>
  <c r="Y21" i="21" s="1"/>
  <c r="AI21" i="14"/>
  <c r="H21" i="21" s="1"/>
  <c r="AU21" i="14"/>
  <c r="BG21"/>
  <c r="T21" i="21" s="1"/>
  <c r="AW22" i="14"/>
  <c r="P22" i="21" s="1"/>
  <c r="AI22" i="14"/>
  <c r="H22" i="21" s="1"/>
  <c r="AU22" i="14"/>
  <c r="BG22"/>
  <c r="T22" i="21" s="1"/>
  <c r="BI23" i="14"/>
  <c r="Y23" i="21" s="1"/>
  <c r="AI23" i="14"/>
  <c r="H23" i="21" s="1"/>
  <c r="AU23" i="14"/>
  <c r="BG23"/>
  <c r="T23" i="21" s="1"/>
  <c r="AW24" i="14"/>
  <c r="P24" i="21" s="1"/>
  <c r="AI24" i="14"/>
  <c r="H24" i="21" s="1"/>
  <c r="AU24" i="14"/>
  <c r="BG24"/>
  <c r="T24" i="21" s="1"/>
  <c r="BI25" i="14"/>
  <c r="Y25" i="21" s="1"/>
  <c r="AI25" i="14"/>
  <c r="H25" i="21" s="1"/>
  <c r="AU25" i="14"/>
  <c r="BG25"/>
  <c r="T25" i="21" s="1"/>
  <c r="AW26" i="14"/>
  <c r="AI26"/>
  <c r="AU26"/>
  <c r="BG26"/>
  <c r="BI27"/>
  <c r="Y27" i="21" s="1"/>
  <c r="AI27" i="14"/>
  <c r="H27" i="21" s="1"/>
  <c r="AU27" i="14"/>
  <c r="BG27"/>
  <c r="T27" i="21" s="1"/>
  <c r="BI28" i="14"/>
  <c r="Y28" i="21" s="1"/>
  <c r="AI28" i="14"/>
  <c r="H28" i="21" s="1"/>
  <c r="AU28" i="14"/>
  <c r="BG28"/>
  <c r="T28" i="21" s="1"/>
  <c r="AU29" i="14"/>
  <c r="BG29"/>
  <c r="T29" i="21" s="1"/>
  <c r="AU30" i="14"/>
  <c r="BG30"/>
  <c r="T30" i="21" s="1"/>
  <c r="BI31" i="14"/>
  <c r="Y31" i="21" s="1"/>
  <c r="AU31" i="14"/>
  <c r="BG31"/>
  <c r="T31" i="21" s="1"/>
  <c r="AU32" i="14"/>
  <c r="BG32"/>
  <c r="T32" i="21" s="1"/>
  <c r="AU33" i="14"/>
  <c r="BG33"/>
  <c r="T33" i="21" s="1"/>
  <c r="AU34" i="14"/>
  <c r="BG34"/>
  <c r="T34" i="21" s="1"/>
  <c r="BI35" i="14"/>
  <c r="BL35" s="1"/>
  <c r="AI35"/>
  <c r="AU35"/>
  <c r="BG35"/>
  <c r="BI36"/>
  <c r="Y36" i="21" s="1"/>
  <c r="AI36" i="14"/>
  <c r="H36" i="21" s="1"/>
  <c r="BG36" i="14"/>
  <c r="T36" i="21" s="1"/>
  <c r="AU37" i="14"/>
  <c r="BG37"/>
  <c r="T37" i="21" s="1"/>
  <c r="AU38" i="14"/>
  <c r="BG38"/>
  <c r="BI39"/>
  <c r="Y39" i="21" s="1"/>
  <c r="AU39" i="14"/>
  <c r="BG39"/>
  <c r="T39" i="21" s="1"/>
  <c r="AU40" i="14"/>
  <c r="BG40"/>
  <c r="AU36"/>
  <c r="AI39"/>
  <c r="H39" i="21" s="1"/>
  <c r="AI31" i="14"/>
  <c r="H31" i="21" s="1"/>
  <c r="BI32" i="14"/>
  <c r="Y32" i="21" s="1"/>
  <c r="AI32" i="14"/>
  <c r="H32" i="21" s="1"/>
  <c r="AJ6" i="14"/>
  <c r="AJ8"/>
  <c r="AJ10"/>
  <c r="AJ13"/>
  <c r="AJ15"/>
  <c r="AJ17"/>
  <c r="AJ19"/>
  <c r="AJ21"/>
  <c r="AJ39"/>
  <c r="AV6"/>
  <c r="Z41"/>
  <c r="AH41"/>
  <c r="BH7"/>
  <c r="BH8"/>
  <c r="BH9"/>
  <c r="BH10"/>
  <c r="AJ11"/>
  <c r="AV13"/>
  <c r="BH13"/>
  <c r="AV15"/>
  <c r="BH15"/>
  <c r="BH17"/>
  <c r="BH19"/>
  <c r="BH21"/>
  <c r="BI29"/>
  <c r="Y29" i="21" s="1"/>
  <c r="AI29" i="14"/>
  <c r="H29" i="21" s="1"/>
  <c r="BI30" i="14"/>
  <c r="Y30" i="21" s="1"/>
  <c r="AI30" i="14"/>
  <c r="H30" i="21" s="1"/>
  <c r="BI33" i="14"/>
  <c r="Y33" i="21" s="1"/>
  <c r="AI33" i="14"/>
  <c r="H33" i="21" s="1"/>
  <c r="BI34" i="14"/>
  <c r="Y34" i="21" s="1"/>
  <c r="AI34" i="14"/>
  <c r="H34" i="21" s="1"/>
  <c r="BI37" i="14"/>
  <c r="Y37" i="21" s="1"/>
  <c r="AI37" i="14"/>
  <c r="H37" i="21" s="1"/>
  <c r="BI38" i="14"/>
  <c r="AI38"/>
  <c r="BH39"/>
  <c r="BK39" s="1"/>
  <c r="BI40"/>
  <c r="BL40" s="1"/>
  <c r="AI40"/>
  <c r="AK7"/>
  <c r="J7" i="21" s="1"/>
  <c r="BI7" i="14"/>
  <c r="Y7" i="21" s="1"/>
  <c r="AK9" i="14"/>
  <c r="J9" i="21" s="1"/>
  <c r="BI9" i="14"/>
  <c r="Y9" i="21" s="1"/>
  <c r="AK12" i="14"/>
  <c r="J12" i="21" s="1"/>
  <c r="BI12" i="14"/>
  <c r="Y12" i="21" s="1"/>
  <c r="AK14" i="14"/>
  <c r="J14" i="21" s="1"/>
  <c r="BI14" i="14"/>
  <c r="Y14" i="21" s="1"/>
  <c r="BI16" i="14"/>
  <c r="Y16" i="21" s="1"/>
  <c r="AK18" i="14"/>
  <c r="J18" i="21" s="1"/>
  <c r="BI18" i="14"/>
  <c r="Y18" i="21" s="1"/>
  <c r="AK20" i="14"/>
  <c r="J20" i="21" s="1"/>
  <c r="BI20" i="14"/>
  <c r="Y20" i="21" s="1"/>
  <c r="AK22" i="14"/>
  <c r="J22" i="21" s="1"/>
  <c r="BI22" i="14"/>
  <c r="Y22" i="21" s="1"/>
  <c r="AJ23" i="14"/>
  <c r="BH23"/>
  <c r="BK23" s="1"/>
  <c r="AK24"/>
  <c r="J24" i="21" s="1"/>
  <c r="BI24" i="14"/>
  <c r="Y24" i="21" s="1"/>
  <c r="AJ25" i="14"/>
  <c r="BH25"/>
  <c r="BK25" s="1"/>
  <c r="AK26"/>
  <c r="BI26"/>
  <c r="BL26" s="1"/>
  <c r="AJ27"/>
  <c r="BH27"/>
  <c r="BK27" s="1"/>
  <c r="AK28"/>
  <c r="J28" i="21" s="1"/>
  <c r="AJ29" i="14"/>
  <c r="BH29"/>
  <c r="AK30"/>
  <c r="J30" i="21" s="1"/>
  <c r="AJ31" i="14"/>
  <c r="BH31"/>
  <c r="AK32"/>
  <c r="J32" i="21" s="1"/>
  <c r="AJ33" i="14"/>
  <c r="BH33"/>
  <c r="AK34"/>
  <c r="J34" i="21" s="1"/>
  <c r="AJ35" i="14"/>
  <c r="BH35"/>
  <c r="J34" i="37" s="1"/>
  <c r="AK36" i="14"/>
  <c r="J36" i="21" s="1"/>
  <c r="AJ37" i="14"/>
  <c r="BH37"/>
  <c r="AK38"/>
  <c r="W40"/>
  <c r="W8"/>
  <c r="E8" i="21" s="1"/>
  <c r="AV8" i="14"/>
  <c r="W10"/>
  <c r="E10" i="21" s="1"/>
  <c r="AV10" i="14"/>
  <c r="W17"/>
  <c r="E17" i="21" s="1"/>
  <c r="AV17" i="14"/>
  <c r="W18"/>
  <c r="E18" i="21" s="1"/>
  <c r="W19" i="14"/>
  <c r="E19" i="21" s="1"/>
  <c r="AV19" i="14"/>
  <c r="W20"/>
  <c r="E20" i="21" s="1"/>
  <c r="W21" i="14"/>
  <c r="E21" i="21" s="1"/>
  <c r="AV21" i="14"/>
  <c r="W22"/>
  <c r="E22" i="21" s="1"/>
  <c r="AV23" i="14"/>
  <c r="W24"/>
  <c r="E24" i="21" s="1"/>
  <c r="AV25" i="14"/>
  <c r="AV27"/>
  <c r="AV29"/>
  <c r="AV31"/>
  <c r="AV33"/>
  <c r="AV35"/>
  <c r="AV37"/>
  <c r="E41" i="12"/>
  <c r="AO41"/>
  <c r="AS41"/>
  <c r="K41"/>
  <c r="BI13" i="14"/>
  <c r="BL13" s="1"/>
  <c r="AW13"/>
  <c r="AK13"/>
  <c r="BI15"/>
  <c r="Y15" i="21" s="1"/>
  <c r="AW15" i="14"/>
  <c r="P15" i="21" s="1"/>
  <c r="AK15" i="14"/>
  <c r="J15" i="21" s="1"/>
  <c r="W7" i="14"/>
  <c r="E7" i="21" s="1"/>
  <c r="W9" i="14"/>
  <c r="E9" i="21" s="1"/>
  <c r="W11" i="14"/>
  <c r="E11" i="21" s="1"/>
  <c r="AV11" i="14"/>
  <c r="BH11"/>
  <c r="BI11"/>
  <c r="Y11" i="21" s="1"/>
  <c r="AW11" i="14"/>
  <c r="P11" i="21" s="1"/>
  <c r="BH12" i="14"/>
  <c r="AV12"/>
  <c r="AJ12"/>
  <c r="BH14"/>
  <c r="AV14"/>
  <c r="AJ14"/>
  <c r="BH16"/>
  <c r="E41"/>
  <c r="K41"/>
  <c r="Q41"/>
  <c r="U41"/>
  <c r="W6"/>
  <c r="E6" i="21" s="1"/>
  <c r="AC41" i="14"/>
  <c r="AG41"/>
  <c r="AI6"/>
  <c r="H6" i="21" s="1"/>
  <c r="AK6" i="14"/>
  <c r="J6" i="21" s="1"/>
  <c r="AS41" i="14"/>
  <c r="AU6"/>
  <c r="AW6"/>
  <c r="P6" i="21" s="1"/>
  <c r="BA41" i="14"/>
  <c r="BE41"/>
  <c r="BG6"/>
  <c r="T6" i="21" s="1"/>
  <c r="BI6" i="14"/>
  <c r="Y6" i="21" s="1"/>
  <c r="AJ7" i="14"/>
  <c r="AV7"/>
  <c r="AK8"/>
  <c r="J8" i="21" s="1"/>
  <c r="AW8" i="14"/>
  <c r="P8" i="21" s="1"/>
  <c r="AJ9" i="14"/>
  <c r="AV9"/>
  <c r="AK10"/>
  <c r="J10" i="21" s="1"/>
  <c r="AW10" i="14"/>
  <c r="P10" i="21" s="1"/>
  <c r="W12" i="14"/>
  <c r="E12" i="21" s="1"/>
  <c r="W13" i="14"/>
  <c r="W14"/>
  <c r="E14" i="21" s="1"/>
  <c r="W15" i="14"/>
  <c r="E15" i="21" s="1"/>
  <c r="AK17" i="14"/>
  <c r="J17" i="21" s="1"/>
  <c r="AW17" i="14"/>
  <c r="P17" i="21" s="1"/>
  <c r="AJ18" i="14"/>
  <c r="AV18"/>
  <c r="BH18"/>
  <c r="AK19"/>
  <c r="J19" i="21" s="1"/>
  <c r="AW19" i="14"/>
  <c r="P19" i="21" s="1"/>
  <c r="AJ20" i="14"/>
  <c r="AV20"/>
  <c r="BH20"/>
  <c r="AK21"/>
  <c r="J21" i="21" s="1"/>
  <c r="AW21" i="14"/>
  <c r="P21" i="21" s="1"/>
  <c r="AJ22" i="14"/>
  <c r="AV22"/>
  <c r="BH22"/>
  <c r="AK23"/>
  <c r="J23" i="21" s="1"/>
  <c r="AW23" i="14"/>
  <c r="P23" i="21" s="1"/>
  <c r="AJ24" i="14"/>
  <c r="AV24"/>
  <c r="BH24"/>
  <c r="AK25"/>
  <c r="J25" i="21" s="1"/>
  <c r="AW25" i="14"/>
  <c r="P25" i="21" s="1"/>
  <c r="AJ26" i="14"/>
  <c r="AV26"/>
  <c r="BH26"/>
  <c r="J25" i="37" s="1"/>
  <c r="AK27" i="14"/>
  <c r="J27" i="21" s="1"/>
  <c r="AW27" i="14"/>
  <c r="P27" i="21" s="1"/>
  <c r="AJ28" i="14"/>
  <c r="AV28"/>
  <c r="BH28"/>
  <c r="AK29"/>
  <c r="J29" i="21" s="1"/>
  <c r="AW29" i="14"/>
  <c r="P29" i="21" s="1"/>
  <c r="AJ30" i="14"/>
  <c r="AV30"/>
  <c r="BH30"/>
  <c r="AK31"/>
  <c r="J31" i="21" s="1"/>
  <c r="AW31" i="14"/>
  <c r="P31" i="21" s="1"/>
  <c r="AJ32" i="14"/>
  <c r="AV32"/>
  <c r="BH32"/>
  <c r="AK33"/>
  <c r="J33" i="21" s="1"/>
  <c r="AW33" i="14"/>
  <c r="P33" i="21" s="1"/>
  <c r="AJ34" i="14"/>
  <c r="AV34"/>
  <c r="BH34"/>
  <c r="AK35"/>
  <c r="AW35"/>
  <c r="AJ36"/>
  <c r="AV36"/>
  <c r="BH36"/>
  <c r="AK37"/>
  <c r="J37" i="21" s="1"/>
  <c r="AW37" i="14"/>
  <c r="P37" i="21" s="1"/>
  <c r="AJ38" i="14"/>
  <c r="AV38"/>
  <c r="BH38"/>
  <c r="W39"/>
  <c r="E39" i="21" s="1"/>
  <c r="AK39" i="14"/>
  <c r="J39" i="21" s="1"/>
  <c r="AW39" i="14"/>
  <c r="P39" i="21" s="1"/>
  <c r="AJ40" i="14"/>
  <c r="AV40"/>
  <c r="BH40"/>
  <c r="AV39"/>
  <c r="AK40"/>
  <c r="AW40"/>
  <c r="U41" i="12"/>
  <c r="C41" i="18" s="1"/>
  <c r="W7" i="12"/>
  <c r="BH8"/>
  <c r="BK8" s="1"/>
  <c r="W9"/>
  <c r="E9" i="18" s="1"/>
  <c r="BH10" i="12"/>
  <c r="BK10" s="1"/>
  <c r="W11"/>
  <c r="E11" i="18" s="1"/>
  <c r="BH12" i="12"/>
  <c r="BK12" s="1"/>
  <c r="AV14"/>
  <c r="AV18"/>
  <c r="W20"/>
  <c r="E20" i="18" s="1"/>
  <c r="BH22" i="12"/>
  <c r="BK22" s="1"/>
  <c r="W29"/>
  <c r="E29" i="18" s="1"/>
  <c r="W30" i="12"/>
  <c r="E30" i="18" s="1"/>
  <c r="W31" i="12"/>
  <c r="E31" i="18" s="1"/>
  <c r="W33" i="12"/>
  <c r="E33" i="18" s="1"/>
  <c r="AU33" i="12"/>
  <c r="BG33"/>
  <c r="T33" i="18" s="1"/>
  <c r="BI34" i="12"/>
  <c r="BL34" s="1"/>
  <c r="AI34"/>
  <c r="AU34"/>
  <c r="BI35"/>
  <c r="Y35" i="18" s="1"/>
  <c r="AI35" i="12"/>
  <c r="H35" i="18" s="1"/>
  <c r="W36" i="12"/>
  <c r="E36" i="18" s="1"/>
  <c r="AU38" i="12"/>
  <c r="BG38"/>
  <c r="T38" i="18" s="1"/>
  <c r="BI39" i="12"/>
  <c r="BL39" s="1"/>
  <c r="AI39"/>
  <c r="AU39"/>
  <c r="BG39"/>
  <c r="BI40"/>
  <c r="Y40" i="18" s="1"/>
  <c r="AI40" i="12"/>
  <c r="H40" i="18" s="1"/>
  <c r="AU40" i="12"/>
  <c r="BG40"/>
  <c r="T40" i="18" s="1"/>
  <c r="BG10" i="12"/>
  <c r="T10" i="18" s="1"/>
  <c r="T13"/>
  <c r="BG14" i="12"/>
  <c r="T14" i="18" s="1"/>
  <c r="BG15" i="12"/>
  <c r="T15" i="18" s="1"/>
  <c r="BG16" i="12"/>
  <c r="BG17"/>
  <c r="T17" i="18" s="1"/>
  <c r="BG19" i="12"/>
  <c r="T19" i="18" s="1"/>
  <c r="BG21" i="12"/>
  <c r="T21" i="18" s="1"/>
  <c r="W24" i="12"/>
  <c r="W26"/>
  <c r="E26" i="18" s="1"/>
  <c r="W27" i="12"/>
  <c r="E27" i="18" s="1"/>
  <c r="AU27" i="12"/>
  <c r="BG27"/>
  <c r="T27" i="18" s="1"/>
  <c r="BI28" i="12"/>
  <c r="Y28" i="18" s="1"/>
  <c r="AI28" i="12"/>
  <c r="H28" i="18" s="1"/>
  <c r="AU28" i="12"/>
  <c r="BG28"/>
  <c r="T28" i="18" s="1"/>
  <c r="BI29" i="12"/>
  <c r="Y29" i="18" s="1"/>
  <c r="AI29" i="12"/>
  <c r="H29" i="18" s="1"/>
  <c r="AU29" i="12"/>
  <c r="BG29"/>
  <c r="T29" i="18" s="1"/>
  <c r="BI30" i="12"/>
  <c r="Y30" i="18" s="1"/>
  <c r="AI30" i="12"/>
  <c r="H30" i="18" s="1"/>
  <c r="AU30" i="12"/>
  <c r="BG30"/>
  <c r="T30" i="18" s="1"/>
  <c r="BI31" i="12"/>
  <c r="Y31" i="18" s="1"/>
  <c r="AI31" i="12"/>
  <c r="H31" i="18" s="1"/>
  <c r="AU31" i="12"/>
  <c r="BG31"/>
  <c r="T31" i="18" s="1"/>
  <c r="BI32" i="12"/>
  <c r="Y32" i="18" s="1"/>
  <c r="AI32" i="12"/>
  <c r="H32" i="18" s="1"/>
  <c r="AU32" i="12"/>
  <c r="BI33"/>
  <c r="Y33" i="18" s="1"/>
  <c r="AI33" i="12"/>
  <c r="H33" i="18" s="1"/>
  <c r="W34" i="12"/>
  <c r="AU35"/>
  <c r="BG35"/>
  <c r="T35" i="18" s="1"/>
  <c r="BI36" i="12"/>
  <c r="Y36" i="18" s="1"/>
  <c r="AI36" i="12"/>
  <c r="H36" i="18" s="1"/>
  <c r="AU36" i="12"/>
  <c r="BG36"/>
  <c r="T36" i="18" s="1"/>
  <c r="AW37" i="12"/>
  <c r="P37" i="18" s="1"/>
  <c r="AI37" i="12"/>
  <c r="H37" i="18" s="1"/>
  <c r="AU37" i="12"/>
  <c r="BI38"/>
  <c r="Y38" i="18" s="1"/>
  <c r="AI38" i="12"/>
  <c r="H38" i="18" s="1"/>
  <c r="BG11" i="12"/>
  <c r="T11" i="18" s="1"/>
  <c r="BG12" i="12"/>
  <c r="T12" i="18" s="1"/>
  <c r="BG18" i="12"/>
  <c r="T18" i="18" s="1"/>
  <c r="BG20" i="12"/>
  <c r="T20" i="18" s="1"/>
  <c r="BG22" i="12"/>
  <c r="T22" i="18" s="1"/>
  <c r="BG32" i="12"/>
  <c r="T32" i="18" s="1"/>
  <c r="BG37" i="12"/>
  <c r="T37" i="18" s="1"/>
  <c r="BG7" i="12"/>
  <c r="BG23"/>
  <c r="T23" i="18" s="1"/>
  <c r="BG24" i="12"/>
  <c r="BG25"/>
  <c r="T25" i="18" s="1"/>
  <c r="BG26" i="12"/>
  <c r="T26" i="18" s="1"/>
  <c r="BG34" i="12"/>
  <c r="AU7"/>
  <c r="AU8"/>
  <c r="AU9"/>
  <c r="AU10"/>
  <c r="AU11"/>
  <c r="AU12"/>
  <c r="AU13"/>
  <c r="AU14"/>
  <c r="AU15"/>
  <c r="AU17"/>
  <c r="AU18"/>
  <c r="AU19"/>
  <c r="AU20"/>
  <c r="AU21"/>
  <c r="AU22"/>
  <c r="AU23"/>
  <c r="AU24"/>
  <c r="AU25"/>
  <c r="AU26"/>
  <c r="AW6"/>
  <c r="P6" i="18" s="1"/>
  <c r="BI7" i="12"/>
  <c r="AI7"/>
  <c r="AW8"/>
  <c r="P8" i="18" s="1"/>
  <c r="AI8" i="12"/>
  <c r="H8" i="18" s="1"/>
  <c r="AI9" i="12"/>
  <c r="H9" i="18" s="1"/>
  <c r="BI10" i="12"/>
  <c r="Y10" i="18" s="1"/>
  <c r="AI10" i="12"/>
  <c r="H10" i="18" s="1"/>
  <c r="BI11" i="12"/>
  <c r="Y11" i="18" s="1"/>
  <c r="AI11" i="12"/>
  <c r="H11" i="18" s="1"/>
  <c r="BI12" i="12"/>
  <c r="Y12" i="18" s="1"/>
  <c r="AI12" i="12"/>
  <c r="H12" i="18" s="1"/>
  <c r="AW13" i="12"/>
  <c r="P13" i="18" s="1"/>
  <c r="AI13" i="12"/>
  <c r="H13" i="18" s="1"/>
  <c r="AI14" i="12"/>
  <c r="H14" i="18" s="1"/>
  <c r="AW15" i="12"/>
  <c r="P15" i="18" s="1"/>
  <c r="AI15" i="12"/>
  <c r="H15" i="18" s="1"/>
  <c r="AI17" i="12"/>
  <c r="AI18"/>
  <c r="H18" i="18" s="1"/>
  <c r="AW19" i="12"/>
  <c r="P19" i="18" s="1"/>
  <c r="AI19" i="12"/>
  <c r="H19" i="18" s="1"/>
  <c r="BI20" i="12"/>
  <c r="Y20" i="18" s="1"/>
  <c r="AI20" i="12"/>
  <c r="H20" i="18" s="1"/>
  <c r="AW21" i="12"/>
  <c r="P21" i="18" s="1"/>
  <c r="AI21" i="12"/>
  <c r="H21" i="18" s="1"/>
  <c r="BI22" i="12"/>
  <c r="Y22" i="18" s="1"/>
  <c r="AI22" i="12"/>
  <c r="H22" i="18" s="1"/>
  <c r="AW23" i="12"/>
  <c r="P23" i="18" s="1"/>
  <c r="AI23" i="12"/>
  <c r="H23" i="18" s="1"/>
  <c r="BI24" i="12"/>
  <c r="BL24" s="1"/>
  <c r="AI24"/>
  <c r="AW25"/>
  <c r="P25" i="18" s="1"/>
  <c r="AI25" i="12"/>
  <c r="H25" i="18" s="1"/>
  <c r="BI26" i="12"/>
  <c r="Y26" i="18" s="1"/>
  <c r="AI26" i="12"/>
  <c r="H26" i="18" s="1"/>
  <c r="BH38" i="12"/>
  <c r="BH40"/>
  <c r="W25"/>
  <c r="E25" i="18" s="1"/>
  <c r="AW29" i="12"/>
  <c r="P29" i="18" s="1"/>
  <c r="AW33" i="12"/>
  <c r="P33" i="18" s="1"/>
  <c r="W35" i="12"/>
  <c r="E35" i="18" s="1"/>
  <c r="W28" i="12"/>
  <c r="E28" i="18" s="1"/>
  <c r="AW31" i="12"/>
  <c r="P31" i="18" s="1"/>
  <c r="W32" i="12"/>
  <c r="E32" i="18" s="1"/>
  <c r="AW35" i="12"/>
  <c r="P35" i="18" s="1"/>
  <c r="W37" i="12"/>
  <c r="E37" i="18" s="1"/>
  <c r="AK6" i="12"/>
  <c r="J6" i="18" s="1"/>
  <c r="BI6" i="12"/>
  <c r="Y6" i="18" s="1"/>
  <c r="AJ7" i="12"/>
  <c r="BH7"/>
  <c r="AK8"/>
  <c r="J8" i="18" s="1"/>
  <c r="AJ9" i="12"/>
  <c r="AW10"/>
  <c r="P10" i="18" s="1"/>
  <c r="AV11" i="12"/>
  <c r="AW12"/>
  <c r="P12" i="18" s="1"/>
  <c r="AV13" i="12"/>
  <c r="AJ14"/>
  <c r="BH14"/>
  <c r="AK15"/>
  <c r="J15" i="18" s="1"/>
  <c r="BI15" i="12"/>
  <c r="Y15" i="18" s="1"/>
  <c r="BH16" i="12"/>
  <c r="Y17" i="18"/>
  <c r="AJ18" i="12"/>
  <c r="BH18"/>
  <c r="AK19"/>
  <c r="J19" i="18" s="1"/>
  <c r="BI19" i="12"/>
  <c r="Y19" i="18" s="1"/>
  <c r="AJ20" i="12"/>
  <c r="BH20"/>
  <c r="AK21"/>
  <c r="J21" i="18" s="1"/>
  <c r="BI21" i="12"/>
  <c r="Y21" i="18" s="1"/>
  <c r="AJ22" i="12"/>
  <c r="AK23"/>
  <c r="J23" i="18" s="1"/>
  <c r="BI23" i="12"/>
  <c r="Y23" i="18" s="1"/>
  <c r="AJ24" i="12"/>
  <c r="E23" i="36" s="1"/>
  <c r="BH24" i="12"/>
  <c r="J23" i="36" s="1"/>
  <c r="AK25" i="12"/>
  <c r="J25" i="18" s="1"/>
  <c r="BI25" i="12"/>
  <c r="Y25" i="18" s="1"/>
  <c r="AJ26" i="12"/>
  <c r="BH26"/>
  <c r="BK26" s="1"/>
  <c r="AJ28"/>
  <c r="BH28"/>
  <c r="BK28" s="1"/>
  <c r="AK29"/>
  <c r="J29" i="18" s="1"/>
  <c r="AJ30" i="12"/>
  <c r="BH30"/>
  <c r="AK31"/>
  <c r="J31" i="18" s="1"/>
  <c r="AJ32" i="12"/>
  <c r="BH32"/>
  <c r="BK32" s="1"/>
  <c r="AK33"/>
  <c r="J33" i="18" s="1"/>
  <c r="AJ34" i="12"/>
  <c r="E33" i="36" s="1"/>
  <c r="BH34" i="12"/>
  <c r="AK35"/>
  <c r="J35" i="18" s="1"/>
  <c r="AJ36" i="12"/>
  <c r="BH36"/>
  <c r="BK36" s="1"/>
  <c r="AK37"/>
  <c r="J37" i="18" s="1"/>
  <c r="BI37" i="12"/>
  <c r="Y37" i="18" s="1"/>
  <c r="AJ38" i="12"/>
  <c r="W39"/>
  <c r="AV7"/>
  <c r="AV9"/>
  <c r="AK10"/>
  <c r="J10" i="18" s="1"/>
  <c r="AJ11" i="12"/>
  <c r="BH11"/>
  <c r="AK12"/>
  <c r="J12" i="18" s="1"/>
  <c r="AJ13" i="12"/>
  <c r="AV20"/>
  <c r="W21"/>
  <c r="E21" i="18" s="1"/>
  <c r="W22" i="12"/>
  <c r="E22" i="18" s="1"/>
  <c r="AV22" i="12"/>
  <c r="W23"/>
  <c r="E23" i="18" s="1"/>
  <c r="AV24" i="12"/>
  <c r="G23" i="36" s="1"/>
  <c r="AV26" i="12"/>
  <c r="AV28"/>
  <c r="AV30"/>
  <c r="AV32"/>
  <c r="AV34"/>
  <c r="G33" i="36" s="1"/>
  <c r="AV36" i="12"/>
  <c r="AV38"/>
  <c r="AK39"/>
  <c r="BI14"/>
  <c r="Y14" i="18" s="1"/>
  <c r="AW14" i="12"/>
  <c r="P14" i="18" s="1"/>
  <c r="AK14" i="12"/>
  <c r="J14" i="18" s="1"/>
  <c r="BI16" i="12"/>
  <c r="Y16" i="18" s="1"/>
  <c r="BI18" i="12"/>
  <c r="Y18" i="18" s="1"/>
  <c r="AW18" i="12"/>
  <c r="P18" i="18" s="1"/>
  <c r="AK18" i="12"/>
  <c r="J18" i="18" s="1"/>
  <c r="W6" i="12"/>
  <c r="E6" i="18" s="1"/>
  <c r="AI6" i="12"/>
  <c r="H6" i="18" s="1"/>
  <c r="AU6" i="12"/>
  <c r="BG6"/>
  <c r="T6" i="18" s="1"/>
  <c r="W8" i="12"/>
  <c r="E8" i="18" s="1"/>
  <c r="BD9" i="12"/>
  <c r="BF9"/>
  <c r="S9" i="18" s="1"/>
  <c r="W10" i="12"/>
  <c r="E10" i="18" s="1"/>
  <c r="W12" i="12"/>
  <c r="E12" i="18" s="1"/>
  <c r="Y13"/>
  <c r="BH15" i="12"/>
  <c r="AV15"/>
  <c r="AJ15"/>
  <c r="BH19"/>
  <c r="AV19"/>
  <c r="AJ19"/>
  <c r="H41"/>
  <c r="N41"/>
  <c r="T41"/>
  <c r="V41"/>
  <c r="AJ6"/>
  <c r="AR41"/>
  <c r="AT41"/>
  <c r="AV6"/>
  <c r="BH6"/>
  <c r="AK7"/>
  <c r="AW7"/>
  <c r="AJ8"/>
  <c r="AV8"/>
  <c r="AK9"/>
  <c r="J9" i="18" s="1"/>
  <c r="AW9" i="12"/>
  <c r="P9" i="18" s="1"/>
  <c r="BA9" i="12"/>
  <c r="BE9"/>
  <c r="BE41" s="1"/>
  <c r="AJ10"/>
  <c r="AV10"/>
  <c r="AK11"/>
  <c r="J11" i="18" s="1"/>
  <c r="AW11" i="12"/>
  <c r="P11" i="18" s="1"/>
  <c r="AJ12" i="12"/>
  <c r="AV12"/>
  <c r="W13"/>
  <c r="E13" i="18" s="1"/>
  <c r="AK13" i="12"/>
  <c r="J13" i="18" s="1"/>
  <c r="W14" i="12"/>
  <c r="E14" i="18" s="1"/>
  <c r="W15" i="12"/>
  <c r="E15" i="18" s="1"/>
  <c r="W18" i="12"/>
  <c r="E18" i="18" s="1"/>
  <c r="W19" i="12"/>
  <c r="E19" i="18" s="1"/>
  <c r="AK20" i="12"/>
  <c r="J20" i="18" s="1"/>
  <c r="AW20" i="12"/>
  <c r="P20" i="18" s="1"/>
  <c r="AJ21" i="12"/>
  <c r="AV21"/>
  <c r="BH21"/>
  <c r="AK22"/>
  <c r="J22" i="18" s="1"/>
  <c r="AW22" i="12"/>
  <c r="P22" i="18" s="1"/>
  <c r="AJ23" i="12"/>
  <c r="AV23"/>
  <c r="BH23"/>
  <c r="AK24"/>
  <c r="AW24"/>
  <c r="AJ25"/>
  <c r="AV25"/>
  <c r="BH25"/>
  <c r="AK26"/>
  <c r="J26" i="18" s="1"/>
  <c r="AW26" i="12"/>
  <c r="P26" i="18" s="1"/>
  <c r="Z27" i="12"/>
  <c r="Q27" i="23"/>
  <c r="AH27" i="12"/>
  <c r="G27" i="18" s="1"/>
  <c r="AK28" i="12"/>
  <c r="J28" i="18" s="1"/>
  <c r="AW28" i="12"/>
  <c r="P28" i="18" s="1"/>
  <c r="AJ29" i="12"/>
  <c r="AV29"/>
  <c r="BH29"/>
  <c r="AK30"/>
  <c r="J30" i="18" s="1"/>
  <c r="AW30" i="12"/>
  <c r="P30" i="18" s="1"/>
  <c r="AJ31" i="12"/>
  <c r="AV31"/>
  <c r="BH31"/>
  <c r="AK32"/>
  <c r="J32" i="18" s="1"/>
  <c r="AW32" i="12"/>
  <c r="P32" i="18" s="1"/>
  <c r="AJ33" i="12"/>
  <c r="AV33"/>
  <c r="BH33"/>
  <c r="AK34"/>
  <c r="AW34"/>
  <c r="AJ35"/>
  <c r="AV35"/>
  <c r="BH35"/>
  <c r="AK36"/>
  <c r="J36" i="18" s="1"/>
  <c r="AW36" i="12"/>
  <c r="P36" i="18" s="1"/>
  <c r="AJ37" i="12"/>
  <c r="AV37"/>
  <c r="BH37"/>
  <c r="W38"/>
  <c r="E38" i="18" s="1"/>
  <c r="AK38" i="12"/>
  <c r="J38" i="18" s="1"/>
  <c r="AW38" i="12"/>
  <c r="P38" i="18" s="1"/>
  <c r="AJ39" i="12"/>
  <c r="E38" i="36" s="1"/>
  <c r="AV39" i="12"/>
  <c r="G38" i="36" s="1"/>
  <c r="BH39" i="12"/>
  <c r="J38" i="36" s="1"/>
  <c r="W40" i="12"/>
  <c r="E40" i="18" s="1"/>
  <c r="AK40" i="12"/>
  <c r="J40" i="18" s="1"/>
  <c r="AW40" i="12"/>
  <c r="P40" i="18" s="1"/>
  <c r="AC27" i="12"/>
  <c r="AG27"/>
  <c r="AW39"/>
  <c r="AJ40"/>
  <c r="AV40"/>
  <c r="I2" i="4"/>
  <c r="O2" s="1"/>
  <c r="U2" s="1"/>
  <c r="AA2" s="1"/>
  <c r="AG2" s="1"/>
  <c r="AM2" s="1"/>
  <c r="AS2" s="1"/>
  <c r="AY2" s="1"/>
  <c r="BE2" s="1"/>
  <c r="I1"/>
  <c r="O1" s="1"/>
  <c r="U1" s="1"/>
  <c r="AA1" s="1"/>
  <c r="AG1" s="1"/>
  <c r="AM1" s="1"/>
  <c r="AS1" s="1"/>
  <c r="AY1" s="1"/>
  <c r="BE1" s="1"/>
  <c r="C39" i="7"/>
  <c r="L1" i="6"/>
  <c r="U1" s="1"/>
  <c r="AD1" s="1"/>
  <c r="AM1" s="1"/>
  <c r="BC41" i="4"/>
  <c r="AS41" i="6"/>
  <c r="AO41"/>
  <c r="AH41"/>
  <c r="AF41"/>
  <c r="AD41"/>
  <c r="AA41"/>
  <c r="Y41"/>
  <c r="W41"/>
  <c r="U41"/>
  <c r="R41"/>
  <c r="P41"/>
  <c r="N41"/>
  <c r="L41"/>
  <c r="AU40"/>
  <c r="AL40"/>
  <c r="AE40" s="1"/>
  <c r="AC40"/>
  <c r="T40"/>
  <c r="K40"/>
  <c r="AU39"/>
  <c r="AL39"/>
  <c r="AC39"/>
  <c r="T39"/>
  <c r="K39"/>
  <c r="AU38"/>
  <c r="AP38" s="1"/>
  <c r="AL38"/>
  <c r="AC38"/>
  <c r="T38"/>
  <c r="K38"/>
  <c r="AU37"/>
  <c r="AC37"/>
  <c r="AB37" s="1"/>
  <c r="T37"/>
  <c r="K37"/>
  <c r="AL36"/>
  <c r="AC36"/>
  <c r="V36" s="1"/>
  <c r="T36"/>
  <c r="K36"/>
  <c r="AL35"/>
  <c r="AC35"/>
  <c r="T35"/>
  <c r="K35"/>
  <c r="D35" s="1"/>
  <c r="AU34"/>
  <c r="AL34"/>
  <c r="AC34"/>
  <c r="T34"/>
  <c r="K34"/>
  <c r="J34" s="1"/>
  <c r="AP33"/>
  <c r="AL33"/>
  <c r="AC33"/>
  <c r="T33"/>
  <c r="K33"/>
  <c r="AL32"/>
  <c r="AC32"/>
  <c r="T32"/>
  <c r="K32"/>
  <c r="H32" s="1"/>
  <c r="K31"/>
  <c r="AL30"/>
  <c r="K30"/>
  <c r="AL28"/>
  <c r="AC28"/>
  <c r="K28"/>
  <c r="H28" s="1"/>
  <c r="AL27"/>
  <c r="AG27" s="1"/>
  <c r="AC27"/>
  <c r="Z27" s="1"/>
  <c r="T27"/>
  <c r="M27" s="1"/>
  <c r="K27"/>
  <c r="AL26"/>
  <c r="AG26" s="1"/>
  <c r="AC26"/>
  <c r="T26"/>
  <c r="K26"/>
  <c r="AL25"/>
  <c r="AG25" s="1"/>
  <c r="AC25"/>
  <c r="AB25" s="1"/>
  <c r="T25"/>
  <c r="O25" s="1"/>
  <c r="AL24"/>
  <c r="AC24"/>
  <c r="T24"/>
  <c r="K24"/>
  <c r="AL23"/>
  <c r="AC23"/>
  <c r="Z23" s="1"/>
  <c r="T23"/>
  <c r="K23"/>
  <c r="AU22"/>
  <c r="AL22"/>
  <c r="AC22"/>
  <c r="T22"/>
  <c r="J22"/>
  <c r="AU21"/>
  <c r="AL21"/>
  <c r="AC21"/>
  <c r="AB21" s="1"/>
  <c r="T21"/>
  <c r="K21"/>
  <c r="AL20"/>
  <c r="AC20"/>
  <c r="T20"/>
  <c r="AL19"/>
  <c r="AC19"/>
  <c r="T19"/>
  <c r="S19" s="1"/>
  <c r="K19"/>
  <c r="F19" s="1"/>
  <c r="AL18"/>
  <c r="AC18"/>
  <c r="T18"/>
  <c r="K18"/>
  <c r="AL17"/>
  <c r="AE17" s="1"/>
  <c r="AC17"/>
  <c r="T17"/>
  <c r="S17" s="1"/>
  <c r="K17"/>
  <c r="H17" s="1"/>
  <c r="AL15"/>
  <c r="AC15"/>
  <c r="T15"/>
  <c r="K15"/>
  <c r="AU14"/>
  <c r="AL14"/>
  <c r="AC14"/>
  <c r="T14"/>
  <c r="K14"/>
  <c r="J14" s="1"/>
  <c r="AU13"/>
  <c r="AL13"/>
  <c r="AC13"/>
  <c r="T13"/>
  <c r="S13" s="1"/>
  <c r="K13"/>
  <c r="AU12"/>
  <c r="AR12"/>
  <c r="AC12"/>
  <c r="F10" i="7" s="1"/>
  <c r="T12" i="6"/>
  <c r="K12"/>
  <c r="J12" s="1"/>
  <c r="AL11"/>
  <c r="AC11"/>
  <c r="T11"/>
  <c r="K11"/>
  <c r="AU10"/>
  <c r="AP10" s="1"/>
  <c r="AL10"/>
  <c r="AC10"/>
  <c r="T10"/>
  <c r="K10"/>
  <c r="J10" s="1"/>
  <c r="AU9"/>
  <c r="AL9"/>
  <c r="AC9"/>
  <c r="T9"/>
  <c r="I41"/>
  <c r="AP8"/>
  <c r="T8"/>
  <c r="K8"/>
  <c r="J8" s="1"/>
  <c r="AU7"/>
  <c r="AL7"/>
  <c r="AC7"/>
  <c r="T7"/>
  <c r="S7" s="1"/>
  <c r="K7"/>
  <c r="AL6"/>
  <c r="AC6"/>
  <c r="T6"/>
  <c r="K6"/>
  <c r="AQ41" i="4"/>
  <c r="AP41"/>
  <c r="AN41"/>
  <c r="AM41"/>
  <c r="S41"/>
  <c r="R41"/>
  <c r="P41"/>
  <c r="O41"/>
  <c r="M41"/>
  <c r="L41"/>
  <c r="J41"/>
  <c r="I41"/>
  <c r="G41"/>
  <c r="F41"/>
  <c r="D41"/>
  <c r="C41"/>
  <c r="BF40"/>
  <c r="S40" i="16" s="1"/>
  <c r="BE40" i="4"/>
  <c r="BD40"/>
  <c r="BA40"/>
  <c r="AT40"/>
  <c r="AS40"/>
  <c r="AR40"/>
  <c r="AO40"/>
  <c r="AH40"/>
  <c r="G40" i="16" s="1"/>
  <c r="AG40" i="4"/>
  <c r="AF40"/>
  <c r="AC40"/>
  <c r="Z40"/>
  <c r="V40"/>
  <c r="U40"/>
  <c r="C40" i="16" s="1"/>
  <c r="T40" i="4"/>
  <c r="Q40"/>
  <c r="N40"/>
  <c r="K40"/>
  <c r="H40"/>
  <c r="E40"/>
  <c r="BF39"/>
  <c r="S39" i="16" s="1"/>
  <c r="BE39" i="4"/>
  <c r="BD39"/>
  <c r="BA39"/>
  <c r="AT39"/>
  <c r="AS39"/>
  <c r="AR39"/>
  <c r="AO39"/>
  <c r="AH39"/>
  <c r="G39" i="16" s="1"/>
  <c r="AG39" i="4"/>
  <c r="AF39"/>
  <c r="AC39"/>
  <c r="Z39"/>
  <c r="U39"/>
  <c r="C39" i="16" s="1"/>
  <c r="T39" i="4"/>
  <c r="Q39"/>
  <c r="N39"/>
  <c r="K39"/>
  <c r="H39"/>
  <c r="E39"/>
  <c r="BF38"/>
  <c r="S38" i="16" s="1"/>
  <c r="BE38" i="4"/>
  <c r="BD38"/>
  <c r="BA38"/>
  <c r="AT38"/>
  <c r="AS38"/>
  <c r="AR38"/>
  <c r="AO38"/>
  <c r="AH38"/>
  <c r="G38" i="16" s="1"/>
  <c r="AG38" i="4"/>
  <c r="AF38"/>
  <c r="AC38"/>
  <c r="Z38"/>
  <c r="V38"/>
  <c r="U38"/>
  <c r="C38" i="16" s="1"/>
  <c r="T38" i="4"/>
  <c r="Q38"/>
  <c r="N38"/>
  <c r="K38"/>
  <c r="H38"/>
  <c r="E38"/>
  <c r="BF37"/>
  <c r="S37" i="16" s="1"/>
  <c r="BE37" i="4"/>
  <c r="BD37"/>
  <c r="BA37"/>
  <c r="AT37"/>
  <c r="AS37"/>
  <c r="AR37"/>
  <c r="AO37"/>
  <c r="AH37"/>
  <c r="G37" i="16" s="1"/>
  <c r="AF37" i="4"/>
  <c r="AC37"/>
  <c r="Z37"/>
  <c r="V37"/>
  <c r="U37"/>
  <c r="C37" i="16" s="1"/>
  <c r="T37" i="4"/>
  <c r="Q37"/>
  <c r="N37"/>
  <c r="K37"/>
  <c r="H37"/>
  <c r="E37"/>
  <c r="BF36"/>
  <c r="S36" i="16" s="1"/>
  <c r="BE36" i="4"/>
  <c r="BD36"/>
  <c r="BA36"/>
  <c r="AT36"/>
  <c r="AS36"/>
  <c r="AR36"/>
  <c r="AO36"/>
  <c r="AH36"/>
  <c r="G36" i="16" s="1"/>
  <c r="AG36" i="4"/>
  <c r="AF36"/>
  <c r="AC36"/>
  <c r="Z36"/>
  <c r="V36"/>
  <c r="U36"/>
  <c r="C36" i="16" s="1"/>
  <c r="T36" i="4"/>
  <c r="Q36"/>
  <c r="N36"/>
  <c r="K36"/>
  <c r="BF35"/>
  <c r="S35" i="16" s="1"/>
  <c r="BE35" i="4"/>
  <c r="BD35"/>
  <c r="BA35"/>
  <c r="AT35"/>
  <c r="AS35"/>
  <c r="AO35"/>
  <c r="AH35"/>
  <c r="G35" i="16" s="1"/>
  <c r="AG35" i="4"/>
  <c r="AF35"/>
  <c r="AC35"/>
  <c r="Z35"/>
  <c r="V35"/>
  <c r="U35"/>
  <c r="C35" i="16" s="1"/>
  <c r="T35" i="4"/>
  <c r="Q35"/>
  <c r="N35"/>
  <c r="K35"/>
  <c r="H35"/>
  <c r="E35"/>
  <c r="BF34"/>
  <c r="S34" i="16" s="1"/>
  <c r="BE34" i="4"/>
  <c r="BD34"/>
  <c r="BA34"/>
  <c r="AT34"/>
  <c r="AS34"/>
  <c r="AR34"/>
  <c r="AO34"/>
  <c r="AH34"/>
  <c r="G34" i="16" s="1"/>
  <c r="AG34" i="4"/>
  <c r="AF34"/>
  <c r="AC34"/>
  <c r="Z34"/>
  <c r="V34"/>
  <c r="U34"/>
  <c r="C34" i="16" s="1"/>
  <c r="T34" i="4"/>
  <c r="Q34"/>
  <c r="N34"/>
  <c r="K34"/>
  <c r="H34"/>
  <c r="E34"/>
  <c r="BF33"/>
  <c r="S33" i="16" s="1"/>
  <c r="BE33" i="4"/>
  <c r="BD33"/>
  <c r="BA33"/>
  <c r="AT33"/>
  <c r="AS33"/>
  <c r="AR33"/>
  <c r="AO33"/>
  <c r="AH33"/>
  <c r="G33" i="16" s="1"/>
  <c r="AG33" i="4"/>
  <c r="AF33"/>
  <c r="AC33"/>
  <c r="Z33"/>
  <c r="V33"/>
  <c r="U33"/>
  <c r="C33" i="16" s="1"/>
  <c r="T33" i="4"/>
  <c r="Q33"/>
  <c r="N33"/>
  <c r="K33"/>
  <c r="H33"/>
  <c r="BF32"/>
  <c r="S32" i="16" s="1"/>
  <c r="BE32" i="4"/>
  <c r="BD32"/>
  <c r="BA32"/>
  <c r="AT32"/>
  <c r="AS32"/>
  <c r="AR32"/>
  <c r="AO32"/>
  <c r="AH32"/>
  <c r="G32" i="16" s="1"/>
  <c r="AG32" i="4"/>
  <c r="AF32"/>
  <c r="AC32"/>
  <c r="Z32"/>
  <c r="V32"/>
  <c r="U32"/>
  <c r="C32" i="16" s="1"/>
  <c r="T32" i="4"/>
  <c r="Q32"/>
  <c r="N32"/>
  <c r="K32"/>
  <c r="H32"/>
  <c r="BF31"/>
  <c r="S31" i="16" s="1"/>
  <c r="BE31" i="4"/>
  <c r="BD31"/>
  <c r="BA31"/>
  <c r="AT31"/>
  <c r="AS31"/>
  <c r="AR31"/>
  <c r="AO31"/>
  <c r="AH31"/>
  <c r="G31" i="16" s="1"/>
  <c r="AG31" i="4"/>
  <c r="AF31"/>
  <c r="AC31"/>
  <c r="Z31"/>
  <c r="V31"/>
  <c r="U31"/>
  <c r="C31" i="16" s="1"/>
  <c r="T31" i="4"/>
  <c r="Q31"/>
  <c r="N31"/>
  <c r="K31"/>
  <c r="H31"/>
  <c r="BF30"/>
  <c r="S30" i="16" s="1"/>
  <c r="BD30" i="4"/>
  <c r="BA30"/>
  <c r="AT30"/>
  <c r="AS30"/>
  <c r="AR30"/>
  <c r="AO30"/>
  <c r="AH30"/>
  <c r="G30" i="16" s="1"/>
  <c r="AG30" i="4"/>
  <c r="AF30"/>
  <c r="AC30"/>
  <c r="Z30"/>
  <c r="V30"/>
  <c r="U30"/>
  <c r="C30" i="16" s="1"/>
  <c r="T30" i="4"/>
  <c r="Q30"/>
  <c r="N30"/>
  <c r="K30"/>
  <c r="H30"/>
  <c r="E30"/>
  <c r="BF28"/>
  <c r="S28" i="16" s="1"/>
  <c r="BE28" i="4"/>
  <c r="BD28"/>
  <c r="BA28"/>
  <c r="AT28"/>
  <c r="AS28"/>
  <c r="AR28"/>
  <c r="AO28"/>
  <c r="AH28"/>
  <c r="G28" i="16" s="1"/>
  <c r="AG28" i="4"/>
  <c r="AF28"/>
  <c r="AC28"/>
  <c r="Z28"/>
  <c r="V28"/>
  <c r="U28"/>
  <c r="C28" i="16" s="1"/>
  <c r="T28" i="4"/>
  <c r="Q28"/>
  <c r="N28"/>
  <c r="H28"/>
  <c r="BF27"/>
  <c r="S27" i="16" s="1"/>
  <c r="BE27" i="4"/>
  <c r="BD27"/>
  <c r="AT27"/>
  <c r="AS27"/>
  <c r="AR27"/>
  <c r="AO27"/>
  <c r="G27" i="23"/>
  <c r="F27"/>
  <c r="V27" i="4"/>
  <c r="U27"/>
  <c r="C27" i="16" s="1"/>
  <c r="T27" i="4"/>
  <c r="Q27"/>
  <c r="N27"/>
  <c r="K27"/>
  <c r="H27"/>
  <c r="E27"/>
  <c r="BF26"/>
  <c r="S26" i="16" s="1"/>
  <c r="BE26" i="4"/>
  <c r="BD26"/>
  <c r="BA26"/>
  <c r="AT26"/>
  <c r="AS26"/>
  <c r="AR26"/>
  <c r="AO26"/>
  <c r="AH26"/>
  <c r="G26" i="16" s="1"/>
  <c r="AG26" i="4"/>
  <c r="AF26"/>
  <c r="AC26"/>
  <c r="Z26"/>
  <c r="V26"/>
  <c r="U26"/>
  <c r="C26" i="16" s="1"/>
  <c r="T26" i="4"/>
  <c r="Q26"/>
  <c r="N26"/>
  <c r="K26"/>
  <c r="H26"/>
  <c r="BF25"/>
  <c r="S25" i="16" s="1"/>
  <c r="BE25" i="4"/>
  <c r="BD25"/>
  <c r="BA25"/>
  <c r="AT25"/>
  <c r="AS25"/>
  <c r="AR25"/>
  <c r="AO25"/>
  <c r="AH25"/>
  <c r="G25" i="16" s="1"/>
  <c r="AG25" i="4"/>
  <c r="AF25"/>
  <c r="AC25"/>
  <c r="Z25"/>
  <c r="V25"/>
  <c r="U25"/>
  <c r="C25" i="16" s="1"/>
  <c r="T25" i="4"/>
  <c r="Q25"/>
  <c r="N25"/>
  <c r="K25"/>
  <c r="H25"/>
  <c r="BF24"/>
  <c r="S24" i="16" s="1"/>
  <c r="BE24" i="4"/>
  <c r="BD24"/>
  <c r="BA24"/>
  <c r="AT24"/>
  <c r="AS24"/>
  <c r="AR24"/>
  <c r="AO24"/>
  <c r="AH24"/>
  <c r="G24" i="16" s="1"/>
  <c r="AG24" i="4"/>
  <c r="AF24"/>
  <c r="AC24"/>
  <c r="Z24"/>
  <c r="V24"/>
  <c r="U24"/>
  <c r="C24" i="16" s="1"/>
  <c r="T24" i="4"/>
  <c r="Q24"/>
  <c r="N24"/>
  <c r="K24"/>
  <c r="H24"/>
  <c r="BF23"/>
  <c r="S23" i="16" s="1"/>
  <c r="BE23" i="4"/>
  <c r="BD23"/>
  <c r="BA23"/>
  <c r="AT23"/>
  <c r="AS23"/>
  <c r="AR23"/>
  <c r="AO23"/>
  <c r="AH23"/>
  <c r="G23" i="16" s="1"/>
  <c r="AG23" i="4"/>
  <c r="AF23"/>
  <c r="AC23"/>
  <c r="Z23"/>
  <c r="V23"/>
  <c r="U23"/>
  <c r="C23" i="16" s="1"/>
  <c r="T23" i="4"/>
  <c r="Q23"/>
  <c r="N23"/>
  <c r="K23"/>
  <c r="H23"/>
  <c r="E23"/>
  <c r="BF22"/>
  <c r="S22" i="16" s="1"/>
  <c r="BE22" i="4"/>
  <c r="BD22"/>
  <c r="BA22"/>
  <c r="AT22"/>
  <c r="AS22"/>
  <c r="AR22"/>
  <c r="AO22"/>
  <c r="AH22"/>
  <c r="G22" i="16" s="1"/>
  <c r="AG22" i="4"/>
  <c r="AF22"/>
  <c r="AC22"/>
  <c r="Z22"/>
  <c r="V22"/>
  <c r="U22"/>
  <c r="T22"/>
  <c r="Q22"/>
  <c r="N22"/>
  <c r="K22"/>
  <c r="H22"/>
  <c r="E22"/>
  <c r="BF21"/>
  <c r="S21" i="16" s="1"/>
  <c r="BE21" i="4"/>
  <c r="BD21"/>
  <c r="BA21"/>
  <c r="AT21"/>
  <c r="AS21"/>
  <c r="AR21"/>
  <c r="AO21"/>
  <c r="AH21"/>
  <c r="G21" i="16" s="1"/>
  <c r="AG21" i="4"/>
  <c r="AF21"/>
  <c r="AC21"/>
  <c r="Z21"/>
  <c r="V21"/>
  <c r="U21"/>
  <c r="C21" i="16" s="1"/>
  <c r="T21" i="4"/>
  <c r="Q21"/>
  <c r="N21"/>
  <c r="K21"/>
  <c r="H21"/>
  <c r="E21"/>
  <c r="BF20"/>
  <c r="S20" i="16" s="1"/>
  <c r="BE20" i="4"/>
  <c r="BD20"/>
  <c r="BA20"/>
  <c r="AT20"/>
  <c r="AS20"/>
  <c r="AR20"/>
  <c r="AO20"/>
  <c r="AH20"/>
  <c r="G20" i="16" s="1"/>
  <c r="AG20" i="4"/>
  <c r="AF20"/>
  <c r="AC20"/>
  <c r="Z20"/>
  <c r="V20"/>
  <c r="U20"/>
  <c r="C20" i="16" s="1"/>
  <c r="T20" i="4"/>
  <c r="Q20"/>
  <c r="N20"/>
  <c r="K20"/>
  <c r="H20"/>
  <c r="BF19"/>
  <c r="S19" i="16" s="1"/>
  <c r="BE19" i="4"/>
  <c r="BD19"/>
  <c r="BA19"/>
  <c r="AT19"/>
  <c r="AS19"/>
  <c r="AR19"/>
  <c r="AO19"/>
  <c r="AH19"/>
  <c r="G19" i="16" s="1"/>
  <c r="AG19" i="4"/>
  <c r="AF19"/>
  <c r="AC19"/>
  <c r="Z19"/>
  <c r="V19"/>
  <c r="U19"/>
  <c r="C19" i="16" s="1"/>
  <c r="T19" i="4"/>
  <c r="Q19"/>
  <c r="N19"/>
  <c r="K19"/>
  <c r="H19"/>
  <c r="BF18"/>
  <c r="S18" i="16" s="1"/>
  <c r="BE18" i="4"/>
  <c r="BD18"/>
  <c r="BA18"/>
  <c r="AT18"/>
  <c r="AS18"/>
  <c r="AR18"/>
  <c r="AO18"/>
  <c r="AH18"/>
  <c r="G18" i="16" s="1"/>
  <c r="AG18" i="4"/>
  <c r="AF18"/>
  <c r="AC18"/>
  <c r="Z18"/>
  <c r="V18"/>
  <c r="U18"/>
  <c r="C18" i="16" s="1"/>
  <c r="T18" i="4"/>
  <c r="Q18"/>
  <c r="N18"/>
  <c r="K18"/>
  <c r="H18"/>
  <c r="BF17"/>
  <c r="S17" i="16" s="1"/>
  <c r="BE17" i="4"/>
  <c r="BD17"/>
  <c r="BA17"/>
  <c r="AT17"/>
  <c r="AS17"/>
  <c r="AR17"/>
  <c r="AO17"/>
  <c r="AH17"/>
  <c r="G17" i="16" s="1"/>
  <c r="AG17" i="4"/>
  <c r="AF17"/>
  <c r="AC17"/>
  <c r="Z17"/>
  <c r="V17"/>
  <c r="U17"/>
  <c r="C17" i="16" s="1"/>
  <c r="T17" i="4"/>
  <c r="Q17"/>
  <c r="N17"/>
  <c r="K17"/>
  <c r="H17"/>
  <c r="BF15"/>
  <c r="S15" i="16" s="1"/>
  <c r="BE15" i="4"/>
  <c r="BD15"/>
  <c r="BA15"/>
  <c r="AT15"/>
  <c r="AS15"/>
  <c r="AR15"/>
  <c r="AO15"/>
  <c r="AH15"/>
  <c r="G15" i="16" s="1"/>
  <c r="AG15" i="4"/>
  <c r="AF15"/>
  <c r="AC15"/>
  <c r="Z15"/>
  <c r="V15"/>
  <c r="U15"/>
  <c r="C15" i="16" s="1"/>
  <c r="T15" i="4"/>
  <c r="Q15"/>
  <c r="N15"/>
  <c r="H15"/>
  <c r="E15"/>
  <c r="BF14"/>
  <c r="S14" i="16" s="1"/>
  <c r="BE14" i="4"/>
  <c r="BD14"/>
  <c r="BA14"/>
  <c r="AT14"/>
  <c r="AS14"/>
  <c r="AR14"/>
  <c r="AO14"/>
  <c r="AH14"/>
  <c r="G14" i="16" s="1"/>
  <c r="AG14" i="4"/>
  <c r="AF14"/>
  <c r="AC14"/>
  <c r="Z14"/>
  <c r="V14"/>
  <c r="U14"/>
  <c r="C14" i="16" s="1"/>
  <c r="T14" i="4"/>
  <c r="Q14"/>
  <c r="N14"/>
  <c r="K14"/>
  <c r="H14"/>
  <c r="E14"/>
  <c r="S13" i="16"/>
  <c r="G13"/>
  <c r="C13"/>
  <c r="BF12" i="4"/>
  <c r="S12" i="16" s="1"/>
  <c r="BE12" i="4"/>
  <c r="BD12"/>
  <c r="BA12"/>
  <c r="AT12"/>
  <c r="AS12"/>
  <c r="AR12"/>
  <c r="AO12"/>
  <c r="AH12"/>
  <c r="G12" i="16" s="1"/>
  <c r="AG12" i="4"/>
  <c r="AF12"/>
  <c r="AC12"/>
  <c r="Z12"/>
  <c r="V12"/>
  <c r="U12"/>
  <c r="C12" i="16" s="1"/>
  <c r="T12" i="4"/>
  <c r="Q12"/>
  <c r="N12"/>
  <c r="K12"/>
  <c r="H12"/>
  <c r="BF11"/>
  <c r="S11" i="16" s="1"/>
  <c r="BE11" i="4"/>
  <c r="BD11"/>
  <c r="BA11"/>
  <c r="AT11"/>
  <c r="AS11"/>
  <c r="AR11"/>
  <c r="AO11"/>
  <c r="AH11"/>
  <c r="G11" i="16" s="1"/>
  <c r="AG11" i="4"/>
  <c r="AF11"/>
  <c r="AC11"/>
  <c r="Z11"/>
  <c r="V11"/>
  <c r="U11"/>
  <c r="T11"/>
  <c r="Q11"/>
  <c r="N11"/>
  <c r="K11"/>
  <c r="H11"/>
  <c r="BF10"/>
  <c r="S10" i="16" s="1"/>
  <c r="BE10" i="4"/>
  <c r="BD10"/>
  <c r="BA10"/>
  <c r="AT10"/>
  <c r="AS10"/>
  <c r="AR10"/>
  <c r="AO10"/>
  <c r="AH10"/>
  <c r="G10" i="16" s="1"/>
  <c r="AG10" i="4"/>
  <c r="AF10"/>
  <c r="AC10"/>
  <c r="Z10"/>
  <c r="V10"/>
  <c r="U10"/>
  <c r="C10" i="16" s="1"/>
  <c r="T10" i="4"/>
  <c r="Q10"/>
  <c r="N10"/>
  <c r="K10"/>
  <c r="H10"/>
  <c r="E10"/>
  <c r="BB41"/>
  <c r="AZ41"/>
  <c r="AY41"/>
  <c r="AT9"/>
  <c r="AS9"/>
  <c r="AR9"/>
  <c r="AH9"/>
  <c r="G9" i="16" s="1"/>
  <c r="AG9" i="4"/>
  <c r="AF9"/>
  <c r="AC9"/>
  <c r="Z9"/>
  <c r="V9"/>
  <c r="U9"/>
  <c r="T9"/>
  <c r="Q9"/>
  <c r="N9"/>
  <c r="K9"/>
  <c r="H9"/>
  <c r="E9"/>
  <c r="BF8"/>
  <c r="S8" i="16" s="1"/>
  <c r="BE8" i="4"/>
  <c r="BD8"/>
  <c r="BA8"/>
  <c r="AT8"/>
  <c r="AS8"/>
  <c r="AO8"/>
  <c r="AH8"/>
  <c r="G8" i="16" s="1"/>
  <c r="AG8" i="4"/>
  <c r="AF8"/>
  <c r="AC8"/>
  <c r="Z8"/>
  <c r="V8"/>
  <c r="U8"/>
  <c r="C8" i="16" s="1"/>
  <c r="T8" i="4"/>
  <c r="Q8"/>
  <c r="N8"/>
  <c r="K8"/>
  <c r="H8"/>
  <c r="E8"/>
  <c r="BF7"/>
  <c r="S7" i="16" s="1"/>
  <c r="BE7" i="4"/>
  <c r="BD7"/>
  <c r="BA7"/>
  <c r="AT7"/>
  <c r="AS7"/>
  <c r="AR7"/>
  <c r="AO7"/>
  <c r="AH7"/>
  <c r="G7" i="16" s="1"/>
  <c r="AG7" i="4"/>
  <c r="AF7"/>
  <c r="AC7"/>
  <c r="Z7"/>
  <c r="V7"/>
  <c r="U7"/>
  <c r="T7"/>
  <c r="Q7"/>
  <c r="N7"/>
  <c r="K7"/>
  <c r="H7"/>
  <c r="E7"/>
  <c r="BF6"/>
  <c r="S6" i="16" s="1"/>
  <c r="BE6" i="4"/>
  <c r="BD6"/>
  <c r="BA6"/>
  <c r="AT6"/>
  <c r="AS6"/>
  <c r="AR6"/>
  <c r="AO6"/>
  <c r="AH6"/>
  <c r="G6" i="16" s="1"/>
  <c r="AG6" i="4"/>
  <c r="AF6"/>
  <c r="AC6"/>
  <c r="Z6"/>
  <c r="V6"/>
  <c r="U6"/>
  <c r="C6" i="16" s="1"/>
  <c r="T6" i="4"/>
  <c r="Q6"/>
  <c r="N6"/>
  <c r="K6"/>
  <c r="H6"/>
  <c r="E6"/>
  <c r="J25" i="6" l="1"/>
  <c r="H25"/>
  <c r="AL17" i="12"/>
  <c r="AT14" i="6"/>
  <c r="AP14"/>
  <c r="AT21"/>
  <c r="AP21"/>
  <c r="AE7"/>
  <c r="AK7"/>
  <c r="S11"/>
  <c r="O11"/>
  <c r="AP12"/>
  <c r="AT12"/>
  <c r="AP13"/>
  <c r="AT13"/>
  <c r="V18"/>
  <c r="X18"/>
  <c r="AT22"/>
  <c r="AP22"/>
  <c r="H15" i="34"/>
  <c r="Z7" i="6"/>
  <c r="AB7"/>
  <c r="AW24" i="4"/>
  <c r="P24" i="16" s="1"/>
  <c r="C18" i="34"/>
  <c r="AN40" i="6"/>
  <c r="AN39"/>
  <c r="AN37"/>
  <c r="M33"/>
  <c r="E31" i="7"/>
  <c r="AE10" i="6"/>
  <c r="AE9"/>
  <c r="S9"/>
  <c r="AE13"/>
  <c r="AE14"/>
  <c r="H17" i="18"/>
  <c r="K17"/>
  <c r="AE28" i="6"/>
  <c r="AG28"/>
  <c r="AE15"/>
  <c r="F14" i="7"/>
  <c r="E14"/>
  <c r="D14"/>
  <c r="S15" i="6"/>
  <c r="J26"/>
  <c r="AP34"/>
  <c r="AE30"/>
  <c r="J18"/>
  <c r="D18"/>
  <c r="G14" i="7"/>
  <c r="AX7" i="12"/>
  <c r="G34" i="37"/>
  <c r="E34"/>
  <c r="M37" i="6"/>
  <c r="I14" i="7"/>
  <c r="H9" i="34"/>
  <c r="C9"/>
  <c r="H7"/>
  <c r="BG39" i="4"/>
  <c r="T39" i="16" s="1"/>
  <c r="J39" i="37"/>
  <c r="E39"/>
  <c r="G39"/>
  <c r="H26" i="34"/>
  <c r="H29"/>
  <c r="E12" i="37"/>
  <c r="G12"/>
  <c r="AW22" i="4"/>
  <c r="P22" i="16" s="1"/>
  <c r="C22"/>
  <c r="AV22" i="4"/>
  <c r="BJ7" i="14"/>
  <c r="Z7" i="21" s="1"/>
  <c r="H6" i="34"/>
  <c r="H28"/>
  <c r="H23"/>
  <c r="H17"/>
  <c r="H10"/>
  <c r="H30"/>
  <c r="H21"/>
  <c r="H8"/>
  <c r="D30"/>
  <c r="D26"/>
  <c r="D17"/>
  <c r="D7"/>
  <c r="BK35" i="14"/>
  <c r="BM35" s="1"/>
  <c r="D19" i="34"/>
  <c r="D9"/>
  <c r="D5"/>
  <c r="D20"/>
  <c r="D18"/>
  <c r="D16"/>
  <c r="D13"/>
  <c r="D24"/>
  <c r="D22"/>
  <c r="D10"/>
  <c r="D8"/>
  <c r="D6"/>
  <c r="BJ9" i="14"/>
  <c r="Z9" i="21" s="1"/>
  <c r="E37" i="37"/>
  <c r="BJ23" i="14"/>
  <c r="Z23" i="21" s="1"/>
  <c r="AL11" i="14"/>
  <c r="K11" i="21" s="1"/>
  <c r="C14" i="34"/>
  <c r="C7"/>
  <c r="C11"/>
  <c r="G37" i="37"/>
  <c r="C20" i="34"/>
  <c r="C16"/>
  <c r="C21"/>
  <c r="C19"/>
  <c r="C17"/>
  <c r="C13"/>
  <c r="C10"/>
  <c r="C8"/>
  <c r="C6"/>
  <c r="C23"/>
  <c r="BJ36" i="12"/>
  <c r="Z36" i="18" s="1"/>
  <c r="BJ38" i="12"/>
  <c r="Z38" i="18" s="1"/>
  <c r="AL34" i="12"/>
  <c r="BJ7"/>
  <c r="BK24"/>
  <c r="BM24" s="1"/>
  <c r="BJ24"/>
  <c r="H40" i="37"/>
  <c r="R41" i="21"/>
  <c r="T16"/>
  <c r="W16"/>
  <c r="S41"/>
  <c r="N6"/>
  <c r="W6"/>
  <c r="F40" i="37"/>
  <c r="L41" i="21"/>
  <c r="U41"/>
  <c r="W36"/>
  <c r="N36"/>
  <c r="W39"/>
  <c r="N39"/>
  <c r="W37"/>
  <c r="N37"/>
  <c r="W34"/>
  <c r="N34"/>
  <c r="W33"/>
  <c r="N33"/>
  <c r="W32"/>
  <c r="N32"/>
  <c r="W31"/>
  <c r="N31"/>
  <c r="W30"/>
  <c r="N30"/>
  <c r="W29"/>
  <c r="N29"/>
  <c r="W28"/>
  <c r="N28"/>
  <c r="W27"/>
  <c r="N27"/>
  <c r="W25"/>
  <c r="N25"/>
  <c r="W24"/>
  <c r="N24"/>
  <c r="W23"/>
  <c r="N23"/>
  <c r="W22"/>
  <c r="N22"/>
  <c r="W21"/>
  <c r="N21"/>
  <c r="W20"/>
  <c r="N20"/>
  <c r="W19"/>
  <c r="N19"/>
  <c r="W18"/>
  <c r="N18"/>
  <c r="W17"/>
  <c r="N17"/>
  <c r="W15"/>
  <c r="N15"/>
  <c r="N14"/>
  <c r="W14"/>
  <c r="N12"/>
  <c r="W12"/>
  <c r="N11"/>
  <c r="W11"/>
  <c r="N10"/>
  <c r="W10"/>
  <c r="N9"/>
  <c r="W9"/>
  <c r="N8"/>
  <c r="W8"/>
  <c r="N7"/>
  <c r="W7"/>
  <c r="I40" i="37"/>
  <c r="M41" i="21"/>
  <c r="V41"/>
  <c r="D40" i="37"/>
  <c r="F41" i="21"/>
  <c r="G41"/>
  <c r="O39"/>
  <c r="G38" i="37"/>
  <c r="J37"/>
  <c r="X36" i="21"/>
  <c r="J35" i="37"/>
  <c r="O36" i="21"/>
  <c r="G35" i="37"/>
  <c r="I36" i="21"/>
  <c r="E35" i="37"/>
  <c r="X34" i="21"/>
  <c r="J33" i="37"/>
  <c r="O34" i="21"/>
  <c r="G33" i="37"/>
  <c r="I34" i="21"/>
  <c r="E33" i="37"/>
  <c r="X32" i="21"/>
  <c r="J31" i="37"/>
  <c r="O32" i="21"/>
  <c r="G31" i="37"/>
  <c r="I32" i="21"/>
  <c r="E31" i="37"/>
  <c r="X30" i="21"/>
  <c r="J29" i="37"/>
  <c r="O30" i="21"/>
  <c r="G29" i="37"/>
  <c r="I30" i="21"/>
  <c r="E29" i="37"/>
  <c r="X28" i="21"/>
  <c r="J27" i="37"/>
  <c r="O28" i="21"/>
  <c r="G27" i="37"/>
  <c r="I28" i="21"/>
  <c r="E27" i="37"/>
  <c r="AX26" i="14"/>
  <c r="G25" i="37"/>
  <c r="AL26" i="14"/>
  <c r="E25" i="37"/>
  <c r="X24" i="21"/>
  <c r="J23" i="37"/>
  <c r="O24" i="21"/>
  <c r="G23" i="37"/>
  <c r="I24" i="21"/>
  <c r="E23" i="37"/>
  <c r="X22" i="21"/>
  <c r="J21" i="37"/>
  <c r="O22" i="21"/>
  <c r="G21" i="37"/>
  <c r="I22" i="21"/>
  <c r="E21" i="37"/>
  <c r="X20" i="21"/>
  <c r="J19" i="37"/>
  <c r="O20" i="21"/>
  <c r="G19" i="37"/>
  <c r="I20" i="21"/>
  <c r="E19" i="37"/>
  <c r="X18" i="21"/>
  <c r="J17" i="37"/>
  <c r="O18" i="21"/>
  <c r="G17" i="37"/>
  <c r="I18" i="21"/>
  <c r="E17" i="37"/>
  <c r="O9" i="21"/>
  <c r="G8" i="37"/>
  <c r="I9" i="21"/>
  <c r="E8" i="37"/>
  <c r="O7" i="21"/>
  <c r="G6" i="37"/>
  <c r="I7" i="21"/>
  <c r="E6" i="37"/>
  <c r="C41" i="21"/>
  <c r="X16"/>
  <c r="J15" i="37"/>
  <c r="I14" i="21"/>
  <c r="E13" i="37"/>
  <c r="O14" i="21"/>
  <c r="G13" i="37"/>
  <c r="X14" i="21"/>
  <c r="J13" i="37"/>
  <c r="I12" i="21"/>
  <c r="E11" i="37"/>
  <c r="O12" i="21"/>
  <c r="G11" i="37"/>
  <c r="X12" i="21"/>
  <c r="J11" i="37"/>
  <c r="X11" i="21"/>
  <c r="J10" i="37"/>
  <c r="O11" i="21"/>
  <c r="G10" i="37"/>
  <c r="O37" i="21"/>
  <c r="G36" i="37"/>
  <c r="O33" i="21"/>
  <c r="G32" i="37"/>
  <c r="O31" i="21"/>
  <c r="G30" i="37"/>
  <c r="O29" i="21"/>
  <c r="G28" i="37"/>
  <c r="O27" i="21"/>
  <c r="G26" i="37"/>
  <c r="O25" i="21"/>
  <c r="G24" i="37"/>
  <c r="O23" i="21"/>
  <c r="G22" i="37"/>
  <c r="O21" i="21"/>
  <c r="G20" i="37"/>
  <c r="O19" i="21"/>
  <c r="G18" i="37"/>
  <c r="O17" i="21"/>
  <c r="G16" i="37"/>
  <c r="O10" i="21"/>
  <c r="G9" i="37"/>
  <c r="O8" i="21"/>
  <c r="G7" i="37"/>
  <c r="X37" i="21"/>
  <c r="J36" i="37"/>
  <c r="I37" i="21"/>
  <c r="E36" i="37"/>
  <c r="X33" i="21"/>
  <c r="J32" i="37"/>
  <c r="I33" i="21"/>
  <c r="E32" i="37"/>
  <c r="X31" i="21"/>
  <c r="J30" i="37"/>
  <c r="I31" i="21"/>
  <c r="E30" i="37"/>
  <c r="X29" i="21"/>
  <c r="J28" i="37"/>
  <c r="I29" i="21"/>
  <c r="E28" i="37"/>
  <c r="BJ27" i="14"/>
  <c r="Z27" i="21" s="1"/>
  <c r="X27"/>
  <c r="J26" i="37"/>
  <c r="I27" i="21"/>
  <c r="E26" i="37"/>
  <c r="X25" i="21"/>
  <c r="J24" i="37"/>
  <c r="I25" i="21"/>
  <c r="E24" i="37"/>
  <c r="X23" i="21"/>
  <c r="J22" i="37"/>
  <c r="I23" i="21"/>
  <c r="E22" i="37"/>
  <c r="X39" i="21"/>
  <c r="J38" i="37"/>
  <c r="X21" i="21"/>
  <c r="J20" i="37"/>
  <c r="X19" i="21"/>
  <c r="J18" i="37"/>
  <c r="X17" i="21"/>
  <c r="J16" i="37"/>
  <c r="X15" i="21"/>
  <c r="J14" i="37"/>
  <c r="O15" i="21"/>
  <c r="G14" i="37"/>
  <c r="BK13" i="14"/>
  <c r="BM13" s="1"/>
  <c r="J12" i="37"/>
  <c r="I11" i="21"/>
  <c r="E10" i="37"/>
  <c r="BJ10" i="14"/>
  <c r="Z10" i="21" s="1"/>
  <c r="X10"/>
  <c r="J9" i="37"/>
  <c r="X9" i="21"/>
  <c r="J8" i="37"/>
  <c r="BJ8" i="14"/>
  <c r="Z8" i="21" s="1"/>
  <c r="X8"/>
  <c r="J7" i="37"/>
  <c r="X7" i="21"/>
  <c r="J6" i="37"/>
  <c r="O6" i="21"/>
  <c r="G5" i="37"/>
  <c r="I39" i="21"/>
  <c r="E38" i="37"/>
  <c r="I21" i="21"/>
  <c r="E20" i="37"/>
  <c r="I19" i="21"/>
  <c r="E18" i="37"/>
  <c r="I17" i="21"/>
  <c r="E16" i="37"/>
  <c r="I15" i="21"/>
  <c r="E14" i="37"/>
  <c r="I10" i="21"/>
  <c r="E9" i="37"/>
  <c r="I8" i="21"/>
  <c r="E7" i="37"/>
  <c r="I6" i="21"/>
  <c r="E5" i="37"/>
  <c r="X6" i="21"/>
  <c r="J5" i="37"/>
  <c r="C40"/>
  <c r="D41" i="21"/>
  <c r="R9" i="18"/>
  <c r="H8" i="36"/>
  <c r="T16" i="18"/>
  <c r="W16"/>
  <c r="V9"/>
  <c r="I8" i="36"/>
  <c r="U9" i="18"/>
  <c r="M41"/>
  <c r="N6"/>
  <c r="W6"/>
  <c r="W26"/>
  <c r="N26"/>
  <c r="W25"/>
  <c r="N25"/>
  <c r="W23"/>
  <c r="N23"/>
  <c r="W22"/>
  <c r="N22"/>
  <c r="W21"/>
  <c r="N21"/>
  <c r="W20"/>
  <c r="N20"/>
  <c r="W19"/>
  <c r="N19"/>
  <c r="W18"/>
  <c r="N18"/>
  <c r="W17"/>
  <c r="N17"/>
  <c r="W15"/>
  <c r="N15"/>
  <c r="W14"/>
  <c r="N14"/>
  <c r="W13"/>
  <c r="N13"/>
  <c r="N12"/>
  <c r="W12"/>
  <c r="N11"/>
  <c r="W11"/>
  <c r="N10"/>
  <c r="W10"/>
  <c r="N9"/>
  <c r="N8"/>
  <c r="W37"/>
  <c r="N37"/>
  <c r="W36"/>
  <c r="N36"/>
  <c r="W35"/>
  <c r="N35"/>
  <c r="W32"/>
  <c r="N32"/>
  <c r="W31"/>
  <c r="N31"/>
  <c r="W30"/>
  <c r="N30"/>
  <c r="W29"/>
  <c r="N29"/>
  <c r="W28"/>
  <c r="N28"/>
  <c r="W27"/>
  <c r="N27"/>
  <c r="W40"/>
  <c r="N40"/>
  <c r="W38"/>
  <c r="N38"/>
  <c r="W33"/>
  <c r="N33"/>
  <c r="L41"/>
  <c r="F40" i="36"/>
  <c r="F27" i="18"/>
  <c r="D26" i="36"/>
  <c r="O40" i="18"/>
  <c r="G39" i="36"/>
  <c r="I40" i="18"/>
  <c r="E39" i="36"/>
  <c r="X37" i="18"/>
  <c r="J36" i="36"/>
  <c r="O37" i="18"/>
  <c r="G36" i="36"/>
  <c r="I37" i="18"/>
  <c r="E36" i="36"/>
  <c r="X35" i="18"/>
  <c r="J34" i="36"/>
  <c r="O35" i="18"/>
  <c r="G34" i="36"/>
  <c r="I35" i="18"/>
  <c r="E34" i="36"/>
  <c r="X33" i="18"/>
  <c r="J32" i="36"/>
  <c r="O33" i="18"/>
  <c r="G32" i="36"/>
  <c r="I33" i="18"/>
  <c r="E32" i="36"/>
  <c r="X31" i="18"/>
  <c r="J30" i="36"/>
  <c r="O31" i="18"/>
  <c r="G30" i="36"/>
  <c r="I31" i="18"/>
  <c r="E30" i="36"/>
  <c r="X29" i="18"/>
  <c r="J28" i="36"/>
  <c r="O29" i="18"/>
  <c r="G28" i="36"/>
  <c r="I29" i="18"/>
  <c r="E28" i="36"/>
  <c r="X25" i="18"/>
  <c r="J24" i="36"/>
  <c r="O25" i="18"/>
  <c r="G24" i="36"/>
  <c r="I25" i="18"/>
  <c r="E24" i="36"/>
  <c r="X23" i="18"/>
  <c r="J22" i="36"/>
  <c r="O23" i="18"/>
  <c r="G22" i="36"/>
  <c r="I23" i="18"/>
  <c r="E22" i="36"/>
  <c r="X21" i="18"/>
  <c r="J20" i="36"/>
  <c r="O21" i="18"/>
  <c r="G20" i="36"/>
  <c r="I21" i="18"/>
  <c r="E20" i="36"/>
  <c r="O12" i="18"/>
  <c r="G11" i="36"/>
  <c r="I12" i="18"/>
  <c r="E11" i="36"/>
  <c r="O10" i="18"/>
  <c r="G9" i="36"/>
  <c r="I10" i="18"/>
  <c r="E9" i="36"/>
  <c r="O8" i="18"/>
  <c r="G7" i="36"/>
  <c r="I8" i="18"/>
  <c r="E7" i="36"/>
  <c r="G6" i="33"/>
  <c r="X6" i="18"/>
  <c r="J5" i="36"/>
  <c r="O6" i="18"/>
  <c r="G5" i="36"/>
  <c r="I6" i="18"/>
  <c r="E5" i="36"/>
  <c r="C40"/>
  <c r="D41" i="18"/>
  <c r="I19"/>
  <c r="E18" i="36"/>
  <c r="O19" i="18"/>
  <c r="G18" i="36"/>
  <c r="X19" i="18"/>
  <c r="J18" i="36"/>
  <c r="I17" i="18"/>
  <c r="O17"/>
  <c r="X17"/>
  <c r="J16" i="36"/>
  <c r="I15" i="18"/>
  <c r="E14" i="36"/>
  <c r="O15" i="18"/>
  <c r="G14" i="36"/>
  <c r="X15" i="18"/>
  <c r="J14" i="36"/>
  <c r="O38" i="18"/>
  <c r="G37" i="36"/>
  <c r="O36" i="18"/>
  <c r="G35" i="36"/>
  <c r="O32" i="18"/>
  <c r="G31" i="36"/>
  <c r="O30" i="18"/>
  <c r="G29" i="36"/>
  <c r="O28" i="18"/>
  <c r="G27" i="36"/>
  <c r="O26" i="18"/>
  <c r="G25" i="36"/>
  <c r="O22" i="18"/>
  <c r="G21" i="36"/>
  <c r="O20" i="18"/>
  <c r="G19" i="36"/>
  <c r="I13" i="18"/>
  <c r="E12" i="36"/>
  <c r="X11" i="18"/>
  <c r="J10" i="33" s="1"/>
  <c r="J10" i="36"/>
  <c r="I11" i="18"/>
  <c r="E10" i="36"/>
  <c r="O9" i="18"/>
  <c r="G8" i="36"/>
  <c r="G6"/>
  <c r="I38" i="18"/>
  <c r="E37" i="36"/>
  <c r="X36" i="18"/>
  <c r="J35" i="36"/>
  <c r="I36" i="18"/>
  <c r="E35" i="36"/>
  <c r="BJ34" i="12"/>
  <c r="J33" i="36"/>
  <c r="X32" i="18"/>
  <c r="J31" i="36"/>
  <c r="I32" i="18"/>
  <c r="E31" i="36"/>
  <c r="X30" i="18"/>
  <c r="J29" i="36"/>
  <c r="I30" i="18"/>
  <c r="E29" i="36"/>
  <c r="X28" i="18"/>
  <c r="J27" i="36"/>
  <c r="I28" i="18"/>
  <c r="E27" i="36"/>
  <c r="X26" i="18"/>
  <c r="J25" i="36"/>
  <c r="I26" i="18"/>
  <c r="E25" i="36"/>
  <c r="I22" i="18"/>
  <c r="E21" i="36"/>
  <c r="BJ20" i="12"/>
  <c r="Z20" i="18" s="1"/>
  <c r="X20"/>
  <c r="J19" i="36"/>
  <c r="I20" i="18"/>
  <c r="E19" i="36"/>
  <c r="X18" i="18"/>
  <c r="J17" i="36"/>
  <c r="I18" i="18"/>
  <c r="E17" i="36"/>
  <c r="X16" i="18"/>
  <c r="J15" i="36"/>
  <c r="X14" i="18"/>
  <c r="J13" i="36"/>
  <c r="I14" i="18"/>
  <c r="E13" i="36"/>
  <c r="AX13" i="12"/>
  <c r="Q13" i="18" s="1"/>
  <c r="O13"/>
  <c r="G12" i="36"/>
  <c r="O11" i="18"/>
  <c r="G10" i="36"/>
  <c r="I9" i="18"/>
  <c r="E8" i="36"/>
  <c r="J6"/>
  <c r="E6"/>
  <c r="X40" i="18"/>
  <c r="J39" i="36"/>
  <c r="X38" i="18"/>
  <c r="J37" i="36"/>
  <c r="X22" i="18"/>
  <c r="J21" i="36"/>
  <c r="O18" i="18"/>
  <c r="G17" i="36"/>
  <c r="O14" i="18"/>
  <c r="G13" i="36"/>
  <c r="X13" i="18"/>
  <c r="J12" i="36"/>
  <c r="X12" i="18"/>
  <c r="J11" i="36"/>
  <c r="X10" i="18"/>
  <c r="J9" i="36"/>
  <c r="X8" i="18"/>
  <c r="R6" i="16"/>
  <c r="H5" i="32" s="1"/>
  <c r="H5" i="35"/>
  <c r="R7" i="16"/>
  <c r="H6" i="32" s="1"/>
  <c r="H6" i="35"/>
  <c r="R8" i="16"/>
  <c r="H7" i="35"/>
  <c r="R10" i="16"/>
  <c r="H9" i="35"/>
  <c r="R11" i="16"/>
  <c r="H10" i="32" s="1"/>
  <c r="H10" i="35"/>
  <c r="R12" i="16"/>
  <c r="H11" i="35"/>
  <c r="R13" i="16"/>
  <c r="H12" i="35"/>
  <c r="R14" i="16"/>
  <c r="H13" i="35"/>
  <c r="R15" i="16"/>
  <c r="H14" i="35"/>
  <c r="R17" i="16"/>
  <c r="H16" i="35"/>
  <c r="R18" i="16"/>
  <c r="H17" i="35"/>
  <c r="R19" i="16"/>
  <c r="H18" i="35"/>
  <c r="R20" i="16"/>
  <c r="H19" i="35"/>
  <c r="R21" i="16"/>
  <c r="H20" i="35"/>
  <c r="R22" i="16"/>
  <c r="H21" i="35"/>
  <c r="R23" i="16"/>
  <c r="H22" i="35"/>
  <c r="R24" i="16"/>
  <c r="H23" i="35"/>
  <c r="R25" i="16"/>
  <c r="H24" i="35"/>
  <c r="R26" i="16"/>
  <c r="H25" i="35"/>
  <c r="R27" i="16"/>
  <c r="H26" i="35"/>
  <c r="R28" i="16"/>
  <c r="H27" i="35"/>
  <c r="R30" i="16"/>
  <c r="H29" i="35"/>
  <c r="R31" i="16"/>
  <c r="H30" i="35"/>
  <c r="R32" i="16"/>
  <c r="H31" i="35"/>
  <c r="R33" i="16"/>
  <c r="H32" i="35"/>
  <c r="R34" i="16"/>
  <c r="H33" i="35"/>
  <c r="R35" i="16"/>
  <c r="H34" i="35"/>
  <c r="R36" i="16"/>
  <c r="H35" i="35"/>
  <c r="R37" i="16"/>
  <c r="H36" i="35"/>
  <c r="R38" i="16"/>
  <c r="H37" i="35"/>
  <c r="R39" i="16"/>
  <c r="H38" i="35"/>
  <c r="R40" i="16"/>
  <c r="H39" i="35"/>
  <c r="U6" i="16"/>
  <c r="L6"/>
  <c r="F5" i="35"/>
  <c r="V6" i="16"/>
  <c r="M6"/>
  <c r="I5" i="35"/>
  <c r="U7" i="16"/>
  <c r="L7"/>
  <c r="F6" i="35"/>
  <c r="V7" i="16"/>
  <c r="M7"/>
  <c r="I6" i="35"/>
  <c r="U8" i="16"/>
  <c r="L8"/>
  <c r="F7" i="35"/>
  <c r="V8" i="16"/>
  <c r="M8"/>
  <c r="I7" i="35"/>
  <c r="L9" i="16"/>
  <c r="F8" i="35"/>
  <c r="M9" i="16"/>
  <c r="U10"/>
  <c r="L10"/>
  <c r="F9" i="35"/>
  <c r="V10" i="16"/>
  <c r="M10"/>
  <c r="I9" i="35"/>
  <c r="U11" i="16"/>
  <c r="L11"/>
  <c r="F10" i="35"/>
  <c r="V11" i="16"/>
  <c r="M11"/>
  <c r="I10" i="35"/>
  <c r="U12" i="16"/>
  <c r="L12"/>
  <c r="F11" i="35"/>
  <c r="V12" i="16"/>
  <c r="M12"/>
  <c r="I11" i="35"/>
  <c r="U13" i="16"/>
  <c r="L13"/>
  <c r="F12" i="35"/>
  <c r="V13" i="16"/>
  <c r="M13"/>
  <c r="I12" i="35"/>
  <c r="U14" i="16"/>
  <c r="L14"/>
  <c r="F13" i="35"/>
  <c r="V14" i="16"/>
  <c r="M14"/>
  <c r="I13" i="35"/>
  <c r="U15" i="16"/>
  <c r="L15"/>
  <c r="F14" i="35"/>
  <c r="V15" i="16"/>
  <c r="M15"/>
  <c r="I14" i="35"/>
  <c r="U17" i="16"/>
  <c r="L17"/>
  <c r="F16" i="35"/>
  <c r="V17" i="16"/>
  <c r="M17"/>
  <c r="I16" i="35"/>
  <c r="U18" i="16"/>
  <c r="L18"/>
  <c r="F17" i="35"/>
  <c r="V18" i="16"/>
  <c r="M18"/>
  <c r="I17" i="35"/>
  <c r="U19" i="16"/>
  <c r="L19"/>
  <c r="F18" i="35"/>
  <c r="V19" i="16"/>
  <c r="M19"/>
  <c r="I18" i="35"/>
  <c r="U20" i="16"/>
  <c r="L20"/>
  <c r="F19" i="35"/>
  <c r="V20" i="16"/>
  <c r="M20"/>
  <c r="I19" i="35"/>
  <c r="U21" i="16"/>
  <c r="L21"/>
  <c r="F20" i="35"/>
  <c r="V21" i="16"/>
  <c r="M21"/>
  <c r="I20" i="35"/>
  <c r="U22" i="16"/>
  <c r="L22"/>
  <c r="F21" i="35"/>
  <c r="V22" i="16"/>
  <c r="M22"/>
  <c r="I21" i="35"/>
  <c r="U23" i="16"/>
  <c r="L23"/>
  <c r="F22" i="35"/>
  <c r="V23" i="16"/>
  <c r="M23"/>
  <c r="I22" i="35"/>
  <c r="U24" i="16"/>
  <c r="L24"/>
  <c r="F23" i="35"/>
  <c r="V24" i="16"/>
  <c r="M24"/>
  <c r="I23" i="35"/>
  <c r="U25" i="16"/>
  <c r="L25"/>
  <c r="F24" i="35"/>
  <c r="V25" i="16"/>
  <c r="M25"/>
  <c r="I24" i="35"/>
  <c r="U26" i="16"/>
  <c r="L26"/>
  <c r="F25" i="35"/>
  <c r="V26" i="16"/>
  <c r="M26"/>
  <c r="I25" i="35"/>
  <c r="U27" i="16"/>
  <c r="L27"/>
  <c r="F26" i="35"/>
  <c r="V27" i="16"/>
  <c r="M27"/>
  <c r="I26" i="35"/>
  <c r="U28" i="16"/>
  <c r="L28"/>
  <c r="F27" i="35"/>
  <c r="V28" i="16"/>
  <c r="M28"/>
  <c r="I27" i="35"/>
  <c r="U30" i="16"/>
  <c r="L30"/>
  <c r="F29" i="35"/>
  <c r="V30" i="16"/>
  <c r="M30"/>
  <c r="I29" i="35"/>
  <c r="U31" i="16"/>
  <c r="L31"/>
  <c r="F30" i="35"/>
  <c r="V31" i="16"/>
  <c r="M31"/>
  <c r="I30" i="35"/>
  <c r="U32" i="16"/>
  <c r="L32"/>
  <c r="F31" i="35"/>
  <c r="V32" i="16"/>
  <c r="M32"/>
  <c r="I31" i="35"/>
  <c r="U33" i="16"/>
  <c r="L33"/>
  <c r="F32" i="35"/>
  <c r="V33" i="16"/>
  <c r="M33"/>
  <c r="I32" i="35"/>
  <c r="U34" i="16"/>
  <c r="L34"/>
  <c r="F33" i="35"/>
  <c r="V34" i="16"/>
  <c r="M34"/>
  <c r="I33" i="35"/>
  <c r="U35" i="16"/>
  <c r="L35"/>
  <c r="F34" i="35"/>
  <c r="V35" i="16"/>
  <c r="M35"/>
  <c r="I34" i="35"/>
  <c r="U36" i="16"/>
  <c r="L36"/>
  <c r="F35" i="35"/>
  <c r="V36" i="16"/>
  <c r="M36"/>
  <c r="I35" i="35"/>
  <c r="U37" i="16"/>
  <c r="L37"/>
  <c r="F36" i="35"/>
  <c r="V37" i="16"/>
  <c r="M37"/>
  <c r="I36" i="35"/>
  <c r="U38" i="16"/>
  <c r="L38"/>
  <c r="F37" i="35"/>
  <c r="V38" i="16"/>
  <c r="M38"/>
  <c r="I37" i="35"/>
  <c r="U39" i="16"/>
  <c r="L39"/>
  <c r="F38" i="35"/>
  <c r="V39" i="16"/>
  <c r="M39"/>
  <c r="I38" i="35"/>
  <c r="U40" i="16"/>
  <c r="L40"/>
  <c r="F39" i="35"/>
  <c r="V40" i="16"/>
  <c r="M40"/>
  <c r="I39" i="35"/>
  <c r="F6" i="16"/>
  <c r="D5" i="35"/>
  <c r="F7" i="16"/>
  <c r="D6" i="32" s="1"/>
  <c r="D6" i="35"/>
  <c r="F8" i="16"/>
  <c r="D7" i="35"/>
  <c r="F9" i="16"/>
  <c r="D8" i="32" s="1"/>
  <c r="D8" i="35"/>
  <c r="F10" i="16"/>
  <c r="D9" i="35"/>
  <c r="F11" i="16"/>
  <c r="D10" i="35"/>
  <c r="F12" i="16"/>
  <c r="D11" i="35"/>
  <c r="F13" i="16"/>
  <c r="D12" i="35"/>
  <c r="F14" i="16"/>
  <c r="D13" i="35"/>
  <c r="F15" i="16"/>
  <c r="D14" i="35"/>
  <c r="F17" i="16"/>
  <c r="D16" i="35"/>
  <c r="F18" i="16"/>
  <c r="D17" i="35"/>
  <c r="F19" i="16"/>
  <c r="D18" i="35"/>
  <c r="F20" i="16"/>
  <c r="D19" i="35"/>
  <c r="F21" i="16"/>
  <c r="D20" i="35"/>
  <c r="F22" i="16"/>
  <c r="D21" i="35"/>
  <c r="F23" i="16"/>
  <c r="D22" i="35"/>
  <c r="F24" i="16"/>
  <c r="D23" i="35"/>
  <c r="F25" i="16"/>
  <c r="D24" i="35"/>
  <c r="F26" i="16"/>
  <c r="D25" i="35"/>
  <c r="F28" i="16"/>
  <c r="D27" i="35"/>
  <c r="F30" i="16"/>
  <c r="D29" i="35"/>
  <c r="F31" i="16"/>
  <c r="D30" i="35"/>
  <c r="F32" i="16"/>
  <c r="D31" i="35"/>
  <c r="F33" i="16"/>
  <c r="D32" i="35"/>
  <c r="F34" i="16"/>
  <c r="D33" i="35"/>
  <c r="F35" i="16"/>
  <c r="D34" i="35"/>
  <c r="F36" i="16"/>
  <c r="D35" i="35"/>
  <c r="F37" i="16"/>
  <c r="D36" i="35"/>
  <c r="F38" i="16"/>
  <c r="D37" i="35"/>
  <c r="F39" i="16"/>
  <c r="D38" i="35"/>
  <c r="F40" i="16"/>
  <c r="D39" i="35"/>
  <c r="D6" i="16"/>
  <c r="C5" i="35"/>
  <c r="C7" i="16"/>
  <c r="D7"/>
  <c r="C6" i="35"/>
  <c r="D8" i="16"/>
  <c r="C7" i="35"/>
  <c r="C9" i="16"/>
  <c r="D9"/>
  <c r="C8" i="35"/>
  <c r="D10" i="16"/>
  <c r="C9" i="35"/>
  <c r="C11" i="16"/>
  <c r="D11"/>
  <c r="C10" i="35"/>
  <c r="D12" i="16"/>
  <c r="C11" i="35"/>
  <c r="D13" i="16"/>
  <c r="C12" i="35"/>
  <c r="D14" i="16"/>
  <c r="C13" i="35"/>
  <c r="D15" i="16"/>
  <c r="C14" i="35"/>
  <c r="D17" i="16"/>
  <c r="C16" i="35"/>
  <c r="D18" i="16"/>
  <c r="C17" i="35"/>
  <c r="D19" i="16"/>
  <c r="C18" i="35"/>
  <c r="D20" i="16"/>
  <c r="C19" i="35"/>
  <c r="D21" i="16"/>
  <c r="C20" i="35"/>
  <c r="D22" i="16"/>
  <c r="C21" i="35"/>
  <c r="D23" i="16"/>
  <c r="C22" i="35"/>
  <c r="D24" i="16"/>
  <c r="C23" i="35"/>
  <c r="D25" i="16"/>
  <c r="C24" i="35"/>
  <c r="D26" i="16"/>
  <c r="C25" i="35"/>
  <c r="D27" i="16"/>
  <c r="C26" i="35"/>
  <c r="D28" i="16"/>
  <c r="C27" i="35"/>
  <c r="D30" i="16"/>
  <c r="C29" i="35"/>
  <c r="D31" i="16"/>
  <c r="C30" i="35"/>
  <c r="D32" i="16"/>
  <c r="C31" i="35"/>
  <c r="D33" i="16"/>
  <c r="C32" i="35"/>
  <c r="D34" i="16"/>
  <c r="C33" i="35"/>
  <c r="D35" i="16"/>
  <c r="C34" i="35"/>
  <c r="D36" i="16"/>
  <c r="C35" i="35"/>
  <c r="D37" i="16"/>
  <c r="C36" i="35"/>
  <c r="D38" i="16"/>
  <c r="C37" i="35"/>
  <c r="D39" i="16"/>
  <c r="C38" i="35"/>
  <c r="D40" i="16"/>
  <c r="C39" i="35"/>
  <c r="V21" i="6"/>
  <c r="V23"/>
  <c r="V25"/>
  <c r="V27"/>
  <c r="V33"/>
  <c r="V35"/>
  <c r="V37"/>
  <c r="V39"/>
  <c r="X23"/>
  <c r="Z21"/>
  <c r="Z25"/>
  <c r="Z33"/>
  <c r="Z37"/>
  <c r="M7"/>
  <c r="M9"/>
  <c r="M11"/>
  <c r="M13"/>
  <c r="M15"/>
  <c r="M17"/>
  <c r="M19"/>
  <c r="O17"/>
  <c r="O19"/>
  <c r="Q7"/>
  <c r="Q9"/>
  <c r="Q11"/>
  <c r="Q13"/>
  <c r="Q17"/>
  <c r="Q19"/>
  <c r="D8"/>
  <c r="D10"/>
  <c r="D12"/>
  <c r="D14"/>
  <c r="F10"/>
  <c r="F12"/>
  <c r="H8"/>
  <c r="H10"/>
  <c r="H12"/>
  <c r="H14"/>
  <c r="I5" i="33"/>
  <c r="I38" i="34"/>
  <c r="D38"/>
  <c r="H36"/>
  <c r="F36"/>
  <c r="I33"/>
  <c r="I32"/>
  <c r="D32"/>
  <c r="I26"/>
  <c r="I24"/>
  <c r="I22"/>
  <c r="I18"/>
  <c r="I16"/>
  <c r="I14"/>
  <c r="I13"/>
  <c r="I11"/>
  <c r="I8"/>
  <c r="C36"/>
  <c r="C33"/>
  <c r="C5"/>
  <c r="I35"/>
  <c r="D35"/>
  <c r="F31"/>
  <c r="D31"/>
  <c r="F30"/>
  <c r="F29"/>
  <c r="D29"/>
  <c r="F28"/>
  <c r="F27"/>
  <c r="D27"/>
  <c r="F23"/>
  <c r="F21"/>
  <c r="F20"/>
  <c r="F19"/>
  <c r="F17"/>
  <c r="F15"/>
  <c r="F10"/>
  <c r="F9"/>
  <c r="F7"/>
  <c r="F6"/>
  <c r="D17" i="33"/>
  <c r="F16"/>
  <c r="F15"/>
  <c r="H14"/>
  <c r="D14"/>
  <c r="H13"/>
  <c r="D13"/>
  <c r="F12"/>
  <c r="F11"/>
  <c r="H10"/>
  <c r="D10"/>
  <c r="H9"/>
  <c r="D9"/>
  <c r="F8"/>
  <c r="F7"/>
  <c r="D5"/>
  <c r="F39"/>
  <c r="D39"/>
  <c r="H37"/>
  <c r="I37"/>
  <c r="D34"/>
  <c r="I32"/>
  <c r="C32"/>
  <c r="C29"/>
  <c r="H25"/>
  <c r="I25"/>
  <c r="F24"/>
  <c r="F22"/>
  <c r="C19"/>
  <c r="I16"/>
  <c r="C16"/>
  <c r="I14"/>
  <c r="C14"/>
  <c r="I12"/>
  <c r="I11"/>
  <c r="C11"/>
  <c r="I9"/>
  <c r="C9"/>
  <c r="C7"/>
  <c r="C5"/>
  <c r="C39"/>
  <c r="F36"/>
  <c r="D36"/>
  <c r="H35"/>
  <c r="I35"/>
  <c r="F34"/>
  <c r="C34"/>
  <c r="F31"/>
  <c r="D31"/>
  <c r="H30"/>
  <c r="I30"/>
  <c r="F29"/>
  <c r="D29"/>
  <c r="H28"/>
  <c r="I28"/>
  <c r="F27"/>
  <c r="D27"/>
  <c r="H26"/>
  <c r="I26"/>
  <c r="C25"/>
  <c r="C22"/>
  <c r="I21"/>
  <c r="F20"/>
  <c r="D20"/>
  <c r="H19"/>
  <c r="I19"/>
  <c r="F18"/>
  <c r="D18"/>
  <c r="H17"/>
  <c r="I17"/>
  <c r="H5"/>
  <c r="I5" i="34"/>
  <c r="H5"/>
  <c r="H38"/>
  <c r="F38"/>
  <c r="I36"/>
  <c r="F33"/>
  <c r="H32"/>
  <c r="F32"/>
  <c r="F26"/>
  <c r="F24"/>
  <c r="F22"/>
  <c r="F18"/>
  <c r="F16"/>
  <c r="F14"/>
  <c r="F13"/>
  <c r="F11"/>
  <c r="F8"/>
  <c r="F5"/>
  <c r="C38"/>
  <c r="C35"/>
  <c r="C32"/>
  <c r="D36"/>
  <c r="H35"/>
  <c r="F35"/>
  <c r="H33"/>
  <c r="D33"/>
  <c r="I31"/>
  <c r="I30"/>
  <c r="I29"/>
  <c r="I28"/>
  <c r="I27"/>
  <c r="I23"/>
  <c r="I21"/>
  <c r="I20"/>
  <c r="I19"/>
  <c r="I17"/>
  <c r="I15"/>
  <c r="I10"/>
  <c r="I9"/>
  <c r="I7"/>
  <c r="I6"/>
  <c r="H16" i="33"/>
  <c r="D16"/>
  <c r="H15"/>
  <c r="D15"/>
  <c r="F14"/>
  <c r="F13"/>
  <c r="H12"/>
  <c r="D12"/>
  <c r="H11"/>
  <c r="D11"/>
  <c r="F10"/>
  <c r="F9"/>
  <c r="D8"/>
  <c r="D7"/>
  <c r="F5"/>
  <c r="H39"/>
  <c r="I39"/>
  <c r="F37"/>
  <c r="C37"/>
  <c r="C35"/>
  <c r="F32"/>
  <c r="C31"/>
  <c r="C28"/>
  <c r="C27"/>
  <c r="F25"/>
  <c r="D25"/>
  <c r="I24"/>
  <c r="I22"/>
  <c r="H21"/>
  <c r="C21"/>
  <c r="C17"/>
  <c r="F17"/>
  <c r="I15"/>
  <c r="C15"/>
  <c r="I13"/>
  <c r="C13"/>
  <c r="I10"/>
  <c r="C10"/>
  <c r="C8"/>
  <c r="D37"/>
  <c r="H36"/>
  <c r="I36"/>
  <c r="F35"/>
  <c r="D35"/>
  <c r="H34"/>
  <c r="I34"/>
  <c r="D32"/>
  <c r="H31"/>
  <c r="I31"/>
  <c r="F30"/>
  <c r="D30"/>
  <c r="H29"/>
  <c r="I29"/>
  <c r="F28"/>
  <c r="D28"/>
  <c r="H27"/>
  <c r="I27"/>
  <c r="F26"/>
  <c r="C26"/>
  <c r="C24"/>
  <c r="F21"/>
  <c r="D21"/>
  <c r="H20"/>
  <c r="I20"/>
  <c r="F19"/>
  <c r="D19"/>
  <c r="H18"/>
  <c r="I18"/>
  <c r="C31" i="34"/>
  <c r="C30"/>
  <c r="C29"/>
  <c r="C28"/>
  <c r="C27"/>
  <c r="C26"/>
  <c r="C24"/>
  <c r="C22"/>
  <c r="C36" i="33"/>
  <c r="H32"/>
  <c r="C30"/>
  <c r="H24"/>
  <c r="D24"/>
  <c r="H22"/>
  <c r="D22"/>
  <c r="C20"/>
  <c r="C18"/>
  <c r="C12"/>
  <c r="H31" i="34"/>
  <c r="E4" i="7"/>
  <c r="D5"/>
  <c r="F5"/>
  <c r="E6"/>
  <c r="F7"/>
  <c r="E8"/>
  <c r="D9"/>
  <c r="AK12" i="6"/>
  <c r="AI12"/>
  <c r="F11" i="7"/>
  <c r="AK14" i="6"/>
  <c r="AI14"/>
  <c r="AG14"/>
  <c r="G12" i="7"/>
  <c r="F13"/>
  <c r="F15"/>
  <c r="E16"/>
  <c r="F17"/>
  <c r="G19"/>
  <c r="AK21" i="6"/>
  <c r="AI21"/>
  <c r="F20" i="7"/>
  <c r="AB22" i="6"/>
  <c r="E21" i="7"/>
  <c r="D22"/>
  <c r="G23"/>
  <c r="AK25" i="6"/>
  <c r="AI25"/>
  <c r="G25" i="7"/>
  <c r="AK27" i="6"/>
  <c r="AI27"/>
  <c r="F26" i="7"/>
  <c r="AB28" i="6"/>
  <c r="E27" i="7"/>
  <c r="D28"/>
  <c r="G29"/>
  <c r="G31"/>
  <c r="AG33" i="6"/>
  <c r="F32" i="7"/>
  <c r="AB34" i="6"/>
  <c r="E33" i="7"/>
  <c r="D34"/>
  <c r="D36"/>
  <c r="I36"/>
  <c r="D38"/>
  <c r="I38"/>
  <c r="AT40" i="6"/>
  <c r="AR40"/>
  <c r="D24"/>
  <c r="D28"/>
  <c r="D30"/>
  <c r="D34"/>
  <c r="D36"/>
  <c r="D40"/>
  <c r="F34"/>
  <c r="F38"/>
  <c r="H22"/>
  <c r="H26"/>
  <c r="H34"/>
  <c r="H38"/>
  <c r="H40"/>
  <c r="J24"/>
  <c r="J38"/>
  <c r="J40"/>
  <c r="M21"/>
  <c r="AB9"/>
  <c r="G4" i="7"/>
  <c r="AK6" i="6"/>
  <c r="AI6"/>
  <c r="AG6"/>
  <c r="AE6"/>
  <c r="I5" i="7"/>
  <c r="AT7" i="6"/>
  <c r="AN7"/>
  <c r="I7" i="7"/>
  <c r="AN9" i="6"/>
  <c r="AK10"/>
  <c r="AI10"/>
  <c r="G8" i="7"/>
  <c r="F9"/>
  <c r="E10"/>
  <c r="D11"/>
  <c r="I11"/>
  <c r="AN13" i="6"/>
  <c r="E12" i="7"/>
  <c r="D13"/>
  <c r="D15"/>
  <c r="AR17" i="6"/>
  <c r="AN17"/>
  <c r="AK18"/>
  <c r="AI18"/>
  <c r="AE18"/>
  <c r="G16" i="7"/>
  <c r="D17"/>
  <c r="E41" i="6"/>
  <c r="D47" s="1"/>
  <c r="F18" i="7"/>
  <c r="E19"/>
  <c r="D20"/>
  <c r="I20"/>
  <c r="AR22" i="6"/>
  <c r="AN22"/>
  <c r="G21" i="7"/>
  <c r="AK23" i="6"/>
  <c r="AI23"/>
  <c r="AG23"/>
  <c r="F22" i="7"/>
  <c r="AB24" i="6"/>
  <c r="E23" i="7"/>
  <c r="D24"/>
  <c r="F24"/>
  <c r="AB26" i="6"/>
  <c r="E25" i="7"/>
  <c r="D26"/>
  <c r="I26"/>
  <c r="G27"/>
  <c r="F28"/>
  <c r="E29"/>
  <c r="D30"/>
  <c r="F30"/>
  <c r="AB32" i="6"/>
  <c r="D32" i="7"/>
  <c r="I32"/>
  <c r="AT34" i="6"/>
  <c r="G33" i="7"/>
  <c r="AK35" i="6"/>
  <c r="F34" i="7"/>
  <c r="AB36" i="6"/>
  <c r="E35" i="7"/>
  <c r="F36"/>
  <c r="AB38" i="6"/>
  <c r="E37" i="7"/>
  <c r="G37"/>
  <c r="AE39" i="6"/>
  <c r="F38" i="7"/>
  <c r="AB40" i="6"/>
  <c r="F4" i="7"/>
  <c r="E5"/>
  <c r="G5"/>
  <c r="AI7" i="6"/>
  <c r="D6" i="7"/>
  <c r="AT8" i="6"/>
  <c r="AR8"/>
  <c r="AN8"/>
  <c r="E7" i="7"/>
  <c r="G7"/>
  <c r="AK9" i="6"/>
  <c r="AI9"/>
  <c r="D8" i="7"/>
  <c r="F8"/>
  <c r="I8"/>
  <c r="AT10" i="6"/>
  <c r="AR10"/>
  <c r="AN10"/>
  <c r="E9" i="7"/>
  <c r="G9"/>
  <c r="AK11" i="6"/>
  <c r="AI11"/>
  <c r="D10" i="7"/>
  <c r="AN12" i="6"/>
  <c r="E11" i="7"/>
  <c r="G11"/>
  <c r="AK13" i="6"/>
  <c r="AI13"/>
  <c r="D12" i="7"/>
  <c r="F12"/>
  <c r="I12"/>
  <c r="AN14" i="6"/>
  <c r="E13" i="7"/>
  <c r="G13"/>
  <c r="AK15" i="6"/>
  <c r="AG15"/>
  <c r="E15" i="7"/>
  <c r="G15"/>
  <c r="AK17" i="6"/>
  <c r="AI17"/>
  <c r="AG17"/>
  <c r="D16" i="7"/>
  <c r="F16"/>
  <c r="E17"/>
  <c r="G17"/>
  <c r="AK19" i="6"/>
  <c r="AI19"/>
  <c r="C41"/>
  <c r="D46" s="1"/>
  <c r="G41"/>
  <c r="D48" s="1"/>
  <c r="E18" i="7"/>
  <c r="AK20" i="6"/>
  <c r="AI20"/>
  <c r="AG20"/>
  <c r="AE20"/>
  <c r="G18" i="7"/>
  <c r="D19"/>
  <c r="F19"/>
  <c r="I19"/>
  <c r="AN21" i="6"/>
  <c r="E20" i="7"/>
  <c r="AK22" i="6"/>
  <c r="AI22"/>
  <c r="AE22"/>
  <c r="G20" i="7"/>
  <c r="D21"/>
  <c r="F21"/>
  <c r="E22"/>
  <c r="AK24" i="6"/>
  <c r="AE24"/>
  <c r="G22" i="7"/>
  <c r="D23"/>
  <c r="F23"/>
  <c r="E24"/>
  <c r="AK26" i="6"/>
  <c r="AI26"/>
  <c r="AE26"/>
  <c r="G24" i="7"/>
  <c r="D25"/>
  <c r="F25"/>
  <c r="I25"/>
  <c r="E26"/>
  <c r="AK28" i="6"/>
  <c r="AI28"/>
  <c r="G26" i="7"/>
  <c r="D27"/>
  <c r="F27"/>
  <c r="I27"/>
  <c r="E28"/>
  <c r="AK30" i="6"/>
  <c r="AI30"/>
  <c r="G28" i="7"/>
  <c r="D29"/>
  <c r="F29"/>
  <c r="E30"/>
  <c r="AK32" i="6"/>
  <c r="AI32"/>
  <c r="AG32"/>
  <c r="AE32"/>
  <c r="G30" i="7"/>
  <c r="D31"/>
  <c r="F31"/>
  <c r="AT33" i="6"/>
  <c r="AR33"/>
  <c r="E32" i="7"/>
  <c r="AK34" i="6"/>
  <c r="AG34"/>
  <c r="AE34"/>
  <c r="G32" i="7"/>
  <c r="D33"/>
  <c r="F33"/>
  <c r="I33"/>
  <c r="E34"/>
  <c r="AK36" i="6"/>
  <c r="AI36"/>
  <c r="AE36"/>
  <c r="G34" i="7"/>
  <c r="D35"/>
  <c r="F35"/>
  <c r="I35"/>
  <c r="AT37" i="6"/>
  <c r="AR37"/>
  <c r="E36" i="7"/>
  <c r="AK38" i="6"/>
  <c r="AI38"/>
  <c r="AG38"/>
  <c r="G36" i="7"/>
  <c r="D37"/>
  <c r="F37"/>
  <c r="I37"/>
  <c r="E38"/>
  <c r="AK40" i="6"/>
  <c r="AI40"/>
  <c r="AG40"/>
  <c r="G38" i="7"/>
  <c r="D26" i="6"/>
  <c r="D32"/>
  <c r="D38"/>
  <c r="H30"/>
  <c r="J28"/>
  <c r="J30"/>
  <c r="J32"/>
  <c r="J36"/>
  <c r="M23"/>
  <c r="M25"/>
  <c r="M31"/>
  <c r="M35"/>
  <c r="M39"/>
  <c r="Q21"/>
  <c r="Q23"/>
  <c r="Q25"/>
  <c r="Q31"/>
  <c r="Q33"/>
  <c r="Q35"/>
  <c r="S21"/>
  <c r="S23"/>
  <c r="S25"/>
  <c r="S27"/>
  <c r="S31"/>
  <c r="S35"/>
  <c r="S37"/>
  <c r="V7"/>
  <c r="V9"/>
  <c r="V11"/>
  <c r="V13"/>
  <c r="V15"/>
  <c r="V17"/>
  <c r="X17"/>
  <c r="Z9"/>
  <c r="Z11"/>
  <c r="Z13"/>
  <c r="Z17"/>
  <c r="Z19"/>
  <c r="AB11"/>
  <c r="AB13"/>
  <c r="AB15"/>
  <c r="AB17"/>
  <c r="AB19"/>
  <c r="AE21"/>
  <c r="AE25"/>
  <c r="D7"/>
  <c r="D11"/>
  <c r="D13"/>
  <c r="D15"/>
  <c r="D17"/>
  <c r="D19"/>
  <c r="D21"/>
  <c r="D23"/>
  <c r="D25"/>
  <c r="D27"/>
  <c r="D31"/>
  <c r="D33"/>
  <c r="D37"/>
  <c r="D39"/>
  <c r="F17"/>
  <c r="H7"/>
  <c r="H11"/>
  <c r="H13"/>
  <c r="H15"/>
  <c r="H19"/>
  <c r="H23"/>
  <c r="H31"/>
  <c r="H33"/>
  <c r="H35"/>
  <c r="H37"/>
  <c r="J7"/>
  <c r="J11"/>
  <c r="J13"/>
  <c r="J15"/>
  <c r="J17"/>
  <c r="J19"/>
  <c r="J21"/>
  <c r="J23"/>
  <c r="J27"/>
  <c r="J31"/>
  <c r="J35"/>
  <c r="J37"/>
  <c r="M6"/>
  <c r="M8"/>
  <c r="M10"/>
  <c r="M12"/>
  <c r="M14"/>
  <c r="M18"/>
  <c r="M20"/>
  <c r="M22"/>
  <c r="M24"/>
  <c r="M26"/>
  <c r="M28"/>
  <c r="M30"/>
  <c r="M32"/>
  <c r="M34"/>
  <c r="M36"/>
  <c r="M38"/>
  <c r="M40"/>
  <c r="O6"/>
  <c r="O10"/>
  <c r="O12"/>
  <c r="O14"/>
  <c r="O20"/>
  <c r="O26"/>
  <c r="O28"/>
  <c r="O32"/>
  <c r="O38"/>
  <c r="O40"/>
  <c r="Q6"/>
  <c r="Q8"/>
  <c r="Q10"/>
  <c r="Q12"/>
  <c r="Q14"/>
  <c r="Q18"/>
  <c r="Q20"/>
  <c r="Q22"/>
  <c r="Q26"/>
  <c r="Q28"/>
  <c r="Q30"/>
  <c r="Q32"/>
  <c r="Q38"/>
  <c r="Q40"/>
  <c r="S6"/>
  <c r="S8"/>
  <c r="S10"/>
  <c r="S12"/>
  <c r="S14"/>
  <c r="S18"/>
  <c r="S20"/>
  <c r="S22"/>
  <c r="S24"/>
  <c r="S26"/>
  <c r="S28"/>
  <c r="S30"/>
  <c r="S32"/>
  <c r="S34"/>
  <c r="S36"/>
  <c r="S38"/>
  <c r="S40"/>
  <c r="V6"/>
  <c r="V10"/>
  <c r="V14"/>
  <c r="V20"/>
  <c r="V22"/>
  <c r="V24"/>
  <c r="V26"/>
  <c r="V28"/>
  <c r="V32"/>
  <c r="V34"/>
  <c r="V38"/>
  <c r="V40"/>
  <c r="X6"/>
  <c r="X12"/>
  <c r="X14"/>
  <c r="X20"/>
  <c r="X26"/>
  <c r="X28"/>
  <c r="X32"/>
  <c r="X34"/>
  <c r="X36"/>
  <c r="X38"/>
  <c r="Z6"/>
  <c r="Z10"/>
  <c r="Z12"/>
  <c r="Z14"/>
  <c r="Z18"/>
  <c r="Z20"/>
  <c r="Z22"/>
  <c r="Z26"/>
  <c r="Z28"/>
  <c r="Z32"/>
  <c r="Z36"/>
  <c r="Z38"/>
  <c r="Z40"/>
  <c r="AB6"/>
  <c r="AB10"/>
  <c r="AB14"/>
  <c r="AB18"/>
  <c r="AB20"/>
  <c r="AB23"/>
  <c r="AB27"/>
  <c r="AB35"/>
  <c r="AE11"/>
  <c r="AE19"/>
  <c r="AE23"/>
  <c r="AE27"/>
  <c r="AE35"/>
  <c r="BK34" i="12"/>
  <c r="BM34" s="1"/>
  <c r="BK30"/>
  <c r="AL24"/>
  <c r="BK20"/>
  <c r="BJ28"/>
  <c r="Z28" i="18" s="1"/>
  <c r="BJ40" i="12"/>
  <c r="Z40" i="18" s="1"/>
  <c r="AL7" i="12"/>
  <c r="E6" i="33"/>
  <c r="N41" i="23"/>
  <c r="G45" s="1"/>
  <c r="T41"/>
  <c r="G47" s="1"/>
  <c r="BK7" i="12"/>
  <c r="BL7"/>
  <c r="J6" i="33"/>
  <c r="AX39" i="14"/>
  <c r="Q39" i="21" s="1"/>
  <c r="AX38" i="14"/>
  <c r="AX37"/>
  <c r="Q37" i="21" s="1"/>
  <c r="AL34" i="14"/>
  <c r="K34" i="21" s="1"/>
  <c r="AL33" i="14"/>
  <c r="K33" i="21" s="1"/>
  <c r="AX32" i="14"/>
  <c r="Q32" i="21" s="1"/>
  <c r="AL30" i="14"/>
  <c r="K30" i="21" s="1"/>
  <c r="AL29" i="14"/>
  <c r="K29" i="21" s="1"/>
  <c r="AX28" i="14"/>
  <c r="Q28" i="21" s="1"/>
  <c r="AX24" i="14"/>
  <c r="Q24" i="21" s="1"/>
  <c r="AX22" i="14"/>
  <c r="Q22" i="21" s="1"/>
  <c r="AX21" i="14"/>
  <c r="Q21" i="21" s="1"/>
  <c r="AL19" i="14"/>
  <c r="K19" i="21" s="1"/>
  <c r="AX18" i="14"/>
  <c r="Q18" i="21" s="1"/>
  <c r="AX17" i="14"/>
  <c r="Q17" i="21" s="1"/>
  <c r="AL10" i="14"/>
  <c r="K10" i="21" s="1"/>
  <c r="AX12" i="14"/>
  <c r="Q12" i="21" s="1"/>
  <c r="BJ31" i="14"/>
  <c r="Z31" i="21" s="1"/>
  <c r="BJ25" i="14"/>
  <c r="Z25" i="21" s="1"/>
  <c r="BL24" i="14"/>
  <c r="BL22"/>
  <c r="BL20"/>
  <c r="BL18"/>
  <c r="BL16"/>
  <c r="BL14"/>
  <c r="BL12"/>
  <c r="BL9"/>
  <c r="BL7"/>
  <c r="BJ39"/>
  <c r="Z39" i="21" s="1"/>
  <c r="BL38" i="14"/>
  <c r="BL37"/>
  <c r="BL34"/>
  <c r="BL33"/>
  <c r="BL30"/>
  <c r="BL29"/>
  <c r="BJ19"/>
  <c r="Z19" i="21" s="1"/>
  <c r="BK15" i="14"/>
  <c r="BK9"/>
  <c r="BK7"/>
  <c r="BL32"/>
  <c r="BL39"/>
  <c r="BM39" s="1"/>
  <c r="BL31"/>
  <c r="BL28"/>
  <c r="BL27"/>
  <c r="BM27" s="1"/>
  <c r="BL25"/>
  <c r="BM25" s="1"/>
  <c r="BL23"/>
  <c r="BM23" s="1"/>
  <c r="BL21"/>
  <c r="BL19"/>
  <c r="BL17"/>
  <c r="BL10"/>
  <c r="BL8"/>
  <c r="W41" i="23"/>
  <c r="H45" s="1"/>
  <c r="AL39" i="14"/>
  <c r="K39" i="21" s="1"/>
  <c r="AL38" i="14"/>
  <c r="AL37"/>
  <c r="K37" i="21" s="1"/>
  <c r="AX36" i="14"/>
  <c r="Q36" i="21" s="1"/>
  <c r="AX34" i="14"/>
  <c r="Q34" i="21" s="1"/>
  <c r="AX33" i="14"/>
  <c r="Q33" i="21" s="1"/>
  <c r="AX30" i="14"/>
  <c r="Q30" i="21" s="1"/>
  <c r="AX29" i="14"/>
  <c r="Q29" i="21" s="1"/>
  <c r="AL28" i="14"/>
  <c r="K28" i="21" s="1"/>
  <c r="AX27" i="14"/>
  <c r="Q27" i="21" s="1"/>
  <c r="AX25" i="14"/>
  <c r="Q25" i="21" s="1"/>
  <c r="AL24" i="14"/>
  <c r="K24" i="21" s="1"/>
  <c r="AX23" i="14"/>
  <c r="Q23" i="21" s="1"/>
  <c r="AL22" i="14"/>
  <c r="K22" i="21" s="1"/>
  <c r="AX20" i="14"/>
  <c r="Q20" i="21" s="1"/>
  <c r="AX19" i="14"/>
  <c r="Q19" i="21" s="1"/>
  <c r="AL18" i="14"/>
  <c r="K18" i="21" s="1"/>
  <c r="AX9" i="14"/>
  <c r="Q9" i="21" s="1"/>
  <c r="AX7" i="14"/>
  <c r="Q7" i="21" s="1"/>
  <c r="AU41" i="14"/>
  <c r="AI41"/>
  <c r="AX14"/>
  <c r="Q14" i="21" s="1"/>
  <c r="BL11" i="14"/>
  <c r="AL15"/>
  <c r="K15" i="21" s="1"/>
  <c r="BL15" i="14"/>
  <c r="BK37"/>
  <c r="BK33"/>
  <c r="BK29"/>
  <c r="BJ21"/>
  <c r="Z21" i="21" s="1"/>
  <c r="BJ17" i="14"/>
  <c r="Z17" i="21" s="1"/>
  <c r="AX15" i="14"/>
  <c r="Q15" i="21" s="1"/>
  <c r="BK10" i="14"/>
  <c r="BK8"/>
  <c r="BL36"/>
  <c r="AC41" i="23"/>
  <c r="H47" s="1"/>
  <c r="Z41"/>
  <c r="H46" s="1"/>
  <c r="D6" i="6"/>
  <c r="H6"/>
  <c r="J6"/>
  <c r="D4" i="7"/>
  <c r="BG41" i="14"/>
  <c r="E6" i="23"/>
  <c r="H7"/>
  <c r="K7"/>
  <c r="E8"/>
  <c r="H9"/>
  <c r="K9"/>
  <c r="H10"/>
  <c r="K10"/>
  <c r="E11"/>
  <c r="H12"/>
  <c r="K12"/>
  <c r="E13"/>
  <c r="H14"/>
  <c r="K14"/>
  <c r="E15"/>
  <c r="H16"/>
  <c r="K16"/>
  <c r="E17"/>
  <c r="H18"/>
  <c r="K18"/>
  <c r="E19"/>
  <c r="H20"/>
  <c r="K20"/>
  <c r="E21"/>
  <c r="H22"/>
  <c r="K22"/>
  <c r="E23"/>
  <c r="H24"/>
  <c r="K24"/>
  <c r="E25"/>
  <c r="H26"/>
  <c r="K26"/>
  <c r="E27"/>
  <c r="K27"/>
  <c r="E28"/>
  <c r="H29"/>
  <c r="K29"/>
  <c r="E30"/>
  <c r="H31"/>
  <c r="K31"/>
  <c r="E32"/>
  <c r="H33"/>
  <c r="K33"/>
  <c r="E34"/>
  <c r="H35"/>
  <c r="K35"/>
  <c r="E36"/>
  <c r="H37"/>
  <c r="K37"/>
  <c r="E38"/>
  <c r="H39"/>
  <c r="K39"/>
  <c r="E40"/>
  <c r="C41"/>
  <c r="D45" s="1"/>
  <c r="I41"/>
  <c r="D47" s="1"/>
  <c r="H6"/>
  <c r="K6"/>
  <c r="E7"/>
  <c r="H8"/>
  <c r="K8"/>
  <c r="E9"/>
  <c r="E10"/>
  <c r="H11"/>
  <c r="K11"/>
  <c r="E12"/>
  <c r="H13"/>
  <c r="K13"/>
  <c r="E14"/>
  <c r="H15"/>
  <c r="K15"/>
  <c r="E16"/>
  <c r="H17"/>
  <c r="K17"/>
  <c r="E18"/>
  <c r="H19"/>
  <c r="K19"/>
  <c r="E20"/>
  <c r="H21"/>
  <c r="K21"/>
  <c r="E22"/>
  <c r="H23"/>
  <c r="K23"/>
  <c r="E24"/>
  <c r="H25"/>
  <c r="K25"/>
  <c r="E26"/>
  <c r="H28"/>
  <c r="K28"/>
  <c r="E29"/>
  <c r="H30"/>
  <c r="K30"/>
  <c r="E31"/>
  <c r="H32"/>
  <c r="K32"/>
  <c r="E33"/>
  <c r="H34"/>
  <c r="K34"/>
  <c r="E35"/>
  <c r="H36"/>
  <c r="K36"/>
  <c r="E37"/>
  <c r="H38"/>
  <c r="K38"/>
  <c r="E39"/>
  <c r="H40"/>
  <c r="K40"/>
  <c r="D41"/>
  <c r="E45" s="1"/>
  <c r="J41"/>
  <c r="E47" s="1"/>
  <c r="BH10" i="4"/>
  <c r="BK10" s="1"/>
  <c r="BH12"/>
  <c r="BK12" s="1"/>
  <c r="BH14"/>
  <c r="BK14" s="1"/>
  <c r="BH16"/>
  <c r="BH18"/>
  <c r="BK18" s="1"/>
  <c r="BH20"/>
  <c r="BK20" s="1"/>
  <c r="BH22"/>
  <c r="BK22" s="1"/>
  <c r="BH24"/>
  <c r="BH26"/>
  <c r="BK26" s="1"/>
  <c r="Y41"/>
  <c r="AB41"/>
  <c r="AE41"/>
  <c r="BI28"/>
  <c r="AI28"/>
  <c r="H28" i="16" s="1"/>
  <c r="AU28" i="4"/>
  <c r="BG28"/>
  <c r="T28" i="16" s="1"/>
  <c r="BI30" i="4"/>
  <c r="AI30"/>
  <c r="H30" i="16" s="1"/>
  <c r="AU30" i="4"/>
  <c r="BG30"/>
  <c r="T30" i="16" s="1"/>
  <c r="BI32" i="4"/>
  <c r="BL32" s="1"/>
  <c r="AI32"/>
  <c r="H32" i="16" s="1"/>
  <c r="AU32" i="4"/>
  <c r="BG32"/>
  <c r="T32" i="16" s="1"/>
  <c r="BI34" i="4"/>
  <c r="AI34"/>
  <c r="H34" i="16" s="1"/>
  <c r="AU34" i="4"/>
  <c r="BG34"/>
  <c r="T34" i="16" s="1"/>
  <c r="BI36" i="4"/>
  <c r="AI36"/>
  <c r="H36" i="16" s="1"/>
  <c r="AU36" i="4"/>
  <c r="BG36"/>
  <c r="T36" i="16" s="1"/>
  <c r="BI38" i="4"/>
  <c r="AI38"/>
  <c r="H38" i="16" s="1"/>
  <c r="AU38" i="4"/>
  <c r="BG38"/>
  <c r="T38" i="16" s="1"/>
  <c r="BI40" i="4"/>
  <c r="AI40"/>
  <c r="H40" i="16" s="1"/>
  <c r="AU40" i="4"/>
  <c r="BG40"/>
  <c r="T40" i="16" s="1"/>
  <c r="U41" i="4"/>
  <c r="C41" i="16" s="1"/>
  <c r="AT41" i="4"/>
  <c r="BH8"/>
  <c r="BK8" s="1"/>
  <c r="X41"/>
  <c r="AA41"/>
  <c r="AD41"/>
  <c r="E41"/>
  <c r="K41"/>
  <c r="Q41"/>
  <c r="AR41"/>
  <c r="AL36" i="14"/>
  <c r="K36" i="21" s="1"/>
  <c r="AX35" i="14"/>
  <c r="AL20"/>
  <c r="K20" i="21" s="1"/>
  <c r="BJ35" i="14"/>
  <c r="AX13"/>
  <c r="BJ13"/>
  <c r="BK31"/>
  <c r="BK19"/>
  <c r="AL32"/>
  <c r="K32" i="21" s="1"/>
  <c r="AX31" i="14"/>
  <c r="Q31" i="21" s="1"/>
  <c r="BK21" i="14"/>
  <c r="AL21"/>
  <c r="K21" i="21" s="1"/>
  <c r="BK17" i="14"/>
  <c r="AL17"/>
  <c r="K17" i="21" s="1"/>
  <c r="AL9" i="14"/>
  <c r="K9" i="21" s="1"/>
  <c r="AL8" i="14"/>
  <c r="K8" i="21" s="1"/>
  <c r="AL7" i="14"/>
  <c r="K7" i="21" s="1"/>
  <c r="AL14" i="14"/>
  <c r="K14" i="21" s="1"/>
  <c r="BJ37" i="14"/>
  <c r="Z37" i="21" s="1"/>
  <c r="BJ33" i="14"/>
  <c r="Z33" i="21" s="1"/>
  <c r="BJ29" i="14"/>
  <c r="Z29" i="21" s="1"/>
  <c r="AL13" i="14"/>
  <c r="AL35"/>
  <c r="AL31"/>
  <c r="K31" i="21" s="1"/>
  <c r="AL27" i="14"/>
  <c r="K27" i="21" s="1"/>
  <c r="AL25" i="14"/>
  <c r="K25" i="21" s="1"/>
  <c r="AL23" i="14"/>
  <c r="K23" i="21" s="1"/>
  <c r="BJ15" i="14"/>
  <c r="Z15" i="21" s="1"/>
  <c r="AX10" i="14"/>
  <c r="Q10" i="21" s="1"/>
  <c r="AX8" i="14"/>
  <c r="Q8" i="21" s="1"/>
  <c r="AL12" i="14"/>
  <c r="K12" i="21" s="1"/>
  <c r="AC41" i="12"/>
  <c r="Z41"/>
  <c r="AX12"/>
  <c r="Q12" i="18" s="1"/>
  <c r="AX10" i="12"/>
  <c r="Q10" i="18" s="1"/>
  <c r="AX19" i="12"/>
  <c r="Q19" i="18" s="1"/>
  <c r="AX15" i="12"/>
  <c r="Q15" i="18" s="1"/>
  <c r="BL13" i="12"/>
  <c r="BD41"/>
  <c r="AU41"/>
  <c r="BL18"/>
  <c r="BL14"/>
  <c r="BL37"/>
  <c r="BJ26"/>
  <c r="Z26" i="18" s="1"/>
  <c r="BL25" i="12"/>
  <c r="BL23"/>
  <c r="BL6"/>
  <c r="BK38"/>
  <c r="BL26"/>
  <c r="BL22"/>
  <c r="BL20"/>
  <c r="BL38"/>
  <c r="BL33"/>
  <c r="BL35"/>
  <c r="AI27"/>
  <c r="H27" i="18" s="1"/>
  <c r="AX38" i="12"/>
  <c r="Q38" i="18" s="1"/>
  <c r="AX37" i="12"/>
  <c r="Q37" i="18" s="1"/>
  <c r="AL36" i="12"/>
  <c r="K36" i="18" s="1"/>
  <c r="AX35" i="12"/>
  <c r="Q35" i="18" s="1"/>
  <c r="AX33" i="12"/>
  <c r="Q33" i="18" s="1"/>
  <c r="AL32" i="12"/>
  <c r="K32" i="18" s="1"/>
  <c r="AX31" i="12"/>
  <c r="Q31" i="18" s="1"/>
  <c r="AL30" i="12"/>
  <c r="K30" i="18" s="1"/>
  <c r="AX29" i="12"/>
  <c r="Q29" i="18" s="1"/>
  <c r="AL28" i="12"/>
  <c r="K28" i="18" s="1"/>
  <c r="AF41" i="12"/>
  <c r="AL26"/>
  <c r="K26" i="18" s="1"/>
  <c r="AX25" i="12"/>
  <c r="Q25" i="18" s="1"/>
  <c r="AX23" i="12"/>
  <c r="Q23" i="18" s="1"/>
  <c r="AL22" i="12"/>
  <c r="K22" i="18" s="1"/>
  <c r="AX21" i="12"/>
  <c r="Q21" i="18" s="1"/>
  <c r="AL20" i="12"/>
  <c r="K20" i="18" s="1"/>
  <c r="AL13" i="12"/>
  <c r="K13" i="18" s="1"/>
  <c r="AL10" i="12"/>
  <c r="K10" i="18" s="1"/>
  <c r="AL9" i="12"/>
  <c r="K9" i="18" s="1"/>
  <c r="AL8" i="12"/>
  <c r="K8" i="18" s="1"/>
  <c r="BI9" i="12"/>
  <c r="Y9" i="18" s="1"/>
  <c r="AX18" i="12"/>
  <c r="Q18" i="18" s="1"/>
  <c r="BL16" i="12"/>
  <c r="AX14"/>
  <c r="Q14" i="18" s="1"/>
  <c r="BK11" i="12"/>
  <c r="BJ30"/>
  <c r="Z30" i="18" s="1"/>
  <c r="BL21" i="12"/>
  <c r="BL19"/>
  <c r="BK18"/>
  <c r="BL17"/>
  <c r="BK16"/>
  <c r="BL15"/>
  <c r="BK14"/>
  <c r="BK40"/>
  <c r="BL12"/>
  <c r="BL11"/>
  <c r="BL10"/>
  <c r="BL36"/>
  <c r="BL32"/>
  <c r="BL31"/>
  <c r="BL30"/>
  <c r="BL29"/>
  <c r="BL28"/>
  <c r="BL40"/>
  <c r="BK13"/>
  <c r="BJ18"/>
  <c r="Z18" i="18" s="1"/>
  <c r="BJ13" i="12"/>
  <c r="Z13" i="18" s="1"/>
  <c r="BJ32" i="12"/>
  <c r="Z32" i="18" s="1"/>
  <c r="BK40" i="14"/>
  <c r="BM40" s="1"/>
  <c r="BJ40"/>
  <c r="BK38"/>
  <c r="BJ38"/>
  <c r="BK36"/>
  <c r="BJ36"/>
  <c r="Z36" i="21" s="1"/>
  <c r="BK34" i="14"/>
  <c r="BJ34"/>
  <c r="Z34" i="21" s="1"/>
  <c r="BK32" i="14"/>
  <c r="BJ32"/>
  <c r="Z32" i="21" s="1"/>
  <c r="BK30" i="14"/>
  <c r="BJ30"/>
  <c r="Z30" i="21" s="1"/>
  <c r="BK28" i="14"/>
  <c r="BM28" s="1"/>
  <c r="BJ28"/>
  <c r="Z28" i="21" s="1"/>
  <c r="BK26" i="14"/>
  <c r="BM26" s="1"/>
  <c r="BJ26"/>
  <c r="BK24"/>
  <c r="BJ24"/>
  <c r="Z24" i="21" s="1"/>
  <c r="BK22" i="14"/>
  <c r="BJ22"/>
  <c r="Z22" i="21" s="1"/>
  <c r="BK20" i="14"/>
  <c r="BJ20"/>
  <c r="Z20" i="21" s="1"/>
  <c r="BK18" i="14"/>
  <c r="BJ18"/>
  <c r="Z18" i="21" s="1"/>
  <c r="BI41" i="14"/>
  <c r="BL6"/>
  <c r="BM6" s="1"/>
  <c r="BJ14"/>
  <c r="Z14" i="21" s="1"/>
  <c r="BK14" i="14"/>
  <c r="BK11"/>
  <c r="BJ11"/>
  <c r="Z11" i="21" s="1"/>
  <c r="AL40" i="14"/>
  <c r="AW41"/>
  <c r="AK41"/>
  <c r="W41"/>
  <c r="BH41"/>
  <c r="AV41"/>
  <c r="AJ41"/>
  <c r="BK16"/>
  <c r="BJ16"/>
  <c r="Z16" i="21" s="1"/>
  <c r="BJ12" i="14"/>
  <c r="Z12" i="21" s="1"/>
  <c r="BK12" i="14"/>
  <c r="AX40"/>
  <c r="AX11"/>
  <c r="Q11" i="21" s="1"/>
  <c r="BJ6" i="14"/>
  <c r="Z6" i="21" s="1"/>
  <c r="AX6" i="14"/>
  <c r="Q6" i="21" s="1"/>
  <c r="AL6" i="14"/>
  <c r="K6" i="21" s="1"/>
  <c r="AL39" i="12"/>
  <c r="AL38"/>
  <c r="K38" i="18" s="1"/>
  <c r="AL37" i="12"/>
  <c r="K37" i="18" s="1"/>
  <c r="AX36" i="12"/>
  <c r="Q36" i="18" s="1"/>
  <c r="AL33" i="12"/>
  <c r="K33" i="18" s="1"/>
  <c r="AX32" i="12"/>
  <c r="Q32" i="18" s="1"/>
  <c r="AL29" i="12"/>
  <c r="K29" i="18" s="1"/>
  <c r="AX28" i="12"/>
  <c r="Q28" i="18" s="1"/>
  <c r="AL25" i="12"/>
  <c r="K25" i="18" s="1"/>
  <c r="AX24" i="12"/>
  <c r="AL23"/>
  <c r="K23" i="18" s="1"/>
  <c r="AX22" i="12"/>
  <c r="Q22" i="18" s="1"/>
  <c r="BJ14" i="12"/>
  <c r="Z14" i="18" s="1"/>
  <c r="AX11" i="12"/>
  <c r="Q11" i="18" s="1"/>
  <c r="BJ11" i="12"/>
  <c r="Z11" i="18" s="1"/>
  <c r="BJ12" i="12"/>
  <c r="Z12" i="18" s="1"/>
  <c r="BJ10" i="12"/>
  <c r="Z10" i="18" s="1"/>
  <c r="AJ27" i="12"/>
  <c r="AJ41" s="1"/>
  <c r="AX40"/>
  <c r="Q40" i="18" s="1"/>
  <c r="AL35" i="12"/>
  <c r="K35" i="18" s="1"/>
  <c r="AX34" i="12"/>
  <c r="AL31"/>
  <c r="K31" i="18" s="1"/>
  <c r="AX30" i="12"/>
  <c r="Q30" i="18" s="1"/>
  <c r="BH27" i="12"/>
  <c r="BK27" s="1"/>
  <c r="AX26"/>
  <c r="Q26" i="18" s="1"/>
  <c r="AL21" i="12"/>
  <c r="K21" i="18" s="1"/>
  <c r="AX20" i="12"/>
  <c r="Q20" i="18" s="1"/>
  <c r="BJ16" i="12"/>
  <c r="Z16" i="18" s="1"/>
  <c r="AL12" i="12"/>
  <c r="K12" i="18" s="1"/>
  <c r="AL11" i="12"/>
  <c r="K11" i="18" s="1"/>
  <c r="AX9" i="12"/>
  <c r="Q9" i="18" s="1"/>
  <c r="AX8" i="12"/>
  <c r="Q8" i="18" s="1"/>
  <c r="AL19" i="12"/>
  <c r="K19" i="18" s="1"/>
  <c r="AL15" i="12"/>
  <c r="K15" i="18" s="1"/>
  <c r="BJ22" i="12"/>
  <c r="Z22" i="18" s="1"/>
  <c r="AL18" i="12"/>
  <c r="K18" i="18" s="1"/>
  <c r="AL14" i="12"/>
  <c r="K14" i="18" s="1"/>
  <c r="BI27" i="12"/>
  <c r="Y27" i="18" s="1"/>
  <c r="AW27" i="12"/>
  <c r="P27" i="18" s="1"/>
  <c r="AK27" i="12"/>
  <c r="J27" i="18" s="1"/>
  <c r="BK25" i="12"/>
  <c r="BJ25"/>
  <c r="Z25" i="18" s="1"/>
  <c r="BK23" i="12"/>
  <c r="BJ23"/>
  <c r="Z23" i="18" s="1"/>
  <c r="BK21" i="12"/>
  <c r="BJ21"/>
  <c r="Z21" i="18" s="1"/>
  <c r="AX6" i="12"/>
  <c r="Q6" i="18" s="1"/>
  <c r="BJ17" i="12"/>
  <c r="Z17" i="18" s="1"/>
  <c r="BK17" i="12"/>
  <c r="AL40"/>
  <c r="K40" i="18" s="1"/>
  <c r="AX39" i="12"/>
  <c r="AV27"/>
  <c r="AH41"/>
  <c r="G41" i="18" s="1"/>
  <c r="AG41" i="12"/>
  <c r="BK39"/>
  <c r="BJ39"/>
  <c r="BK37"/>
  <c r="BJ37"/>
  <c r="Z37" i="18" s="1"/>
  <c r="BK35" i="12"/>
  <c r="BJ35"/>
  <c r="Z35" i="18" s="1"/>
  <c r="BK33" i="12"/>
  <c r="BJ33"/>
  <c r="Z33" i="18" s="1"/>
  <c r="BK31" i="12"/>
  <c r="BJ31"/>
  <c r="Z31" i="18" s="1"/>
  <c r="BK29" i="12"/>
  <c r="BJ29"/>
  <c r="Z29" i="18" s="1"/>
  <c r="BG9" i="12"/>
  <c r="BH9"/>
  <c r="BJ6"/>
  <c r="Z6" i="18" s="1"/>
  <c r="BK6" i="12"/>
  <c r="AL6"/>
  <c r="K6" i="18" s="1"/>
  <c r="BJ19" i="12"/>
  <c r="Z19" i="18" s="1"/>
  <c r="BK19" i="12"/>
  <c r="BJ15"/>
  <c r="Z15" i="18" s="1"/>
  <c r="BK15" i="12"/>
  <c r="H41" i="4"/>
  <c r="N41"/>
  <c r="T41"/>
  <c r="V41"/>
  <c r="AO41"/>
  <c r="AS41"/>
  <c r="BH7"/>
  <c r="BK7" s="1"/>
  <c r="BH11"/>
  <c r="BK11" s="1"/>
  <c r="BH15"/>
  <c r="BK15" s="1"/>
  <c r="BH17"/>
  <c r="BH19"/>
  <c r="BK19" s="1"/>
  <c r="BH21"/>
  <c r="BH23"/>
  <c r="BK23" s="1"/>
  <c r="BH25"/>
  <c r="AU27"/>
  <c r="BG27"/>
  <c r="T27" i="16" s="1"/>
  <c r="BI31" i="4"/>
  <c r="AI31"/>
  <c r="H31" i="16" s="1"/>
  <c r="AU31" i="4"/>
  <c r="BG31"/>
  <c r="T31" i="16" s="1"/>
  <c r="BI33" i="4"/>
  <c r="AI33"/>
  <c r="H33" i="16" s="1"/>
  <c r="AU33" i="4"/>
  <c r="BG33"/>
  <c r="T33" i="16" s="1"/>
  <c r="BI35" i="4"/>
  <c r="AI35"/>
  <c r="H35" i="16" s="1"/>
  <c r="AU35" i="4"/>
  <c r="BG35"/>
  <c r="T35" i="16" s="1"/>
  <c r="BI37" i="4"/>
  <c r="AI37"/>
  <c r="H37" i="16" s="1"/>
  <c r="AU37" i="4"/>
  <c r="BG37"/>
  <c r="T37" i="16" s="1"/>
  <c r="BI39" i="4"/>
  <c r="AI39"/>
  <c r="H39" i="16" s="1"/>
  <c r="AU39" i="4"/>
  <c r="BH40"/>
  <c r="BI7"/>
  <c r="AI7"/>
  <c r="H7" i="16" s="1"/>
  <c r="AU7" i="4"/>
  <c r="BG7"/>
  <c r="T7" i="16" s="1"/>
  <c r="BI8" i="4"/>
  <c r="AI8"/>
  <c r="H8" i="16" s="1"/>
  <c r="AU8" i="4"/>
  <c r="BG8"/>
  <c r="T8" i="16" s="1"/>
  <c r="AI9" i="4"/>
  <c r="H9" i="16" s="1"/>
  <c r="AU9" i="4"/>
  <c r="BI10"/>
  <c r="AI10"/>
  <c r="H10" i="16" s="1"/>
  <c r="AU10" i="4"/>
  <c r="BG10"/>
  <c r="T10" i="16" s="1"/>
  <c r="BI11" i="4"/>
  <c r="AI11"/>
  <c r="H11" i="16" s="1"/>
  <c r="AU11" i="4"/>
  <c r="BG11"/>
  <c r="T11" i="16" s="1"/>
  <c r="BI12" i="4"/>
  <c r="AI12"/>
  <c r="H12" i="16" s="1"/>
  <c r="AU12" i="4"/>
  <c r="BG12"/>
  <c r="T12" i="16" s="1"/>
  <c r="H13"/>
  <c r="T13"/>
  <c r="BI14" i="4"/>
  <c r="AI14"/>
  <c r="H14" i="16" s="1"/>
  <c r="AU14" i="4"/>
  <c r="BG14"/>
  <c r="T14" i="16" s="1"/>
  <c r="BI15" i="4"/>
  <c r="AI15"/>
  <c r="H15" i="16" s="1"/>
  <c r="AU15" i="4"/>
  <c r="BG15"/>
  <c r="T15" i="16" s="1"/>
  <c r="BI16" i="4"/>
  <c r="BI17"/>
  <c r="AI17"/>
  <c r="H17" i="16" s="1"/>
  <c r="AU17" i="4"/>
  <c r="BG17"/>
  <c r="T17" i="16" s="1"/>
  <c r="BI18" i="4"/>
  <c r="AI18"/>
  <c r="H18" i="16" s="1"/>
  <c r="AU18" i="4"/>
  <c r="BG18"/>
  <c r="T18" i="16" s="1"/>
  <c r="BI19" i="4"/>
  <c r="AI19"/>
  <c r="H19" i="16" s="1"/>
  <c r="AU19" i="4"/>
  <c r="BG19"/>
  <c r="T19" i="16" s="1"/>
  <c r="BI20" i="4"/>
  <c r="AI20"/>
  <c r="H20" i="16" s="1"/>
  <c r="AU20" i="4"/>
  <c r="BG20"/>
  <c r="T20" i="16" s="1"/>
  <c r="BI21" i="4"/>
  <c r="AI21"/>
  <c r="H21" i="16" s="1"/>
  <c r="AU21" i="4"/>
  <c r="BG21"/>
  <c r="T21" i="16" s="1"/>
  <c r="BI22" i="4"/>
  <c r="AI22"/>
  <c r="H22" i="16" s="1"/>
  <c r="AU22" i="4"/>
  <c r="BG22"/>
  <c r="T22" i="16" s="1"/>
  <c r="BI23" i="4"/>
  <c r="AI23"/>
  <c r="H23" i="16" s="1"/>
  <c r="AU23" i="4"/>
  <c r="BG23"/>
  <c r="T23" i="16" s="1"/>
  <c r="BI24" i="4"/>
  <c r="AI24"/>
  <c r="H24" i="16" s="1"/>
  <c r="AU24" i="4"/>
  <c r="BG24"/>
  <c r="T24" i="16" s="1"/>
  <c r="BI25" i="4"/>
  <c r="AI25"/>
  <c r="H25" i="16" s="1"/>
  <c r="AU25" i="4"/>
  <c r="BG25"/>
  <c r="T25" i="16" s="1"/>
  <c r="BI26" i="4"/>
  <c r="AI26"/>
  <c r="H26" i="16" s="1"/>
  <c r="AU26" i="4"/>
  <c r="BG26"/>
  <c r="T26" i="16" s="1"/>
  <c r="BH28" i="4"/>
  <c r="BH30"/>
  <c r="BK30" s="1"/>
  <c r="BH31"/>
  <c r="BH32"/>
  <c r="BK32" s="1"/>
  <c r="BH33"/>
  <c r="BK33" s="1"/>
  <c r="BH34"/>
  <c r="BK34" s="1"/>
  <c r="BH35"/>
  <c r="BH36"/>
  <c r="BK36" s="1"/>
  <c r="BH37"/>
  <c r="BK37" s="1"/>
  <c r="BH38"/>
  <c r="BK38" s="1"/>
  <c r="BH39"/>
  <c r="K20" i="6"/>
  <c r="H20" s="1"/>
  <c r="K9"/>
  <c r="BK29" i="4"/>
  <c r="W6"/>
  <c r="E6" i="16" s="1"/>
  <c r="AI6" i="4"/>
  <c r="H6" i="16" s="1"/>
  <c r="AJ6" i="4"/>
  <c r="AK6"/>
  <c r="J6" i="16" s="1"/>
  <c r="AU6" i="4"/>
  <c r="AV6"/>
  <c r="AW6"/>
  <c r="P6" i="16" s="1"/>
  <c r="BG6" i="4"/>
  <c r="T6" i="16" s="1"/>
  <c r="BH6" i="4"/>
  <c r="BI6"/>
  <c r="W7"/>
  <c r="E7" i="16" s="1"/>
  <c r="AJ7" i="4"/>
  <c r="AK7"/>
  <c r="J7" i="16" s="1"/>
  <c r="AV7" i="4"/>
  <c r="AW7"/>
  <c r="P7" i="16" s="1"/>
  <c r="W8" i="4"/>
  <c r="E8" i="16" s="1"/>
  <c r="AJ8" i="4"/>
  <c r="AK8"/>
  <c r="J8" i="16" s="1"/>
  <c r="AV8" i="4"/>
  <c r="AW8"/>
  <c r="P8" i="16" s="1"/>
  <c r="W9" i="4"/>
  <c r="E9" i="16" s="1"/>
  <c r="AJ9" i="4"/>
  <c r="AK9"/>
  <c r="J9" i="16" s="1"/>
  <c r="AV9" i="4"/>
  <c r="AW9"/>
  <c r="P9" i="16" s="1"/>
  <c r="BA9" i="4"/>
  <c r="BD9"/>
  <c r="BE9"/>
  <c r="BF9"/>
  <c r="S9" i="16" s="1"/>
  <c r="W10" i="4"/>
  <c r="E10" i="16" s="1"/>
  <c r="AJ10" i="4"/>
  <c r="AK10"/>
  <c r="J10" i="16" s="1"/>
  <c r="AV10" i="4"/>
  <c r="AW10"/>
  <c r="P10" i="16" s="1"/>
  <c r="W11" i="4"/>
  <c r="E11" i="16" s="1"/>
  <c r="AJ11" i="4"/>
  <c r="AK11"/>
  <c r="J11" i="16" s="1"/>
  <c r="AV11" i="4"/>
  <c r="AW11"/>
  <c r="P11" i="16" s="1"/>
  <c r="W12" i="4"/>
  <c r="E12" i="16" s="1"/>
  <c r="AJ12" i="4"/>
  <c r="AK12"/>
  <c r="J12" i="16" s="1"/>
  <c r="AV12" i="4"/>
  <c r="AW12"/>
  <c r="P12" i="16" s="1"/>
  <c r="E13"/>
  <c r="J13"/>
  <c r="P13"/>
  <c r="W14" i="4"/>
  <c r="E14" i="16" s="1"/>
  <c r="AJ14" i="4"/>
  <c r="AK14"/>
  <c r="J14" i="16" s="1"/>
  <c r="AV14" i="4"/>
  <c r="AW14"/>
  <c r="P14" i="16" s="1"/>
  <c r="W15" i="4"/>
  <c r="E15" i="16" s="1"/>
  <c r="AJ15" i="4"/>
  <c r="AK15"/>
  <c r="J15" i="16" s="1"/>
  <c r="AV15" i="4"/>
  <c r="AW15"/>
  <c r="P15" i="16" s="1"/>
  <c r="W17" i="4"/>
  <c r="E17" i="16" s="1"/>
  <c r="AJ17" i="4"/>
  <c r="AK17"/>
  <c r="J17" i="16" s="1"/>
  <c r="AV17" i="4"/>
  <c r="AW17"/>
  <c r="P17" i="16" s="1"/>
  <c r="W18" i="4"/>
  <c r="E18" i="16" s="1"/>
  <c r="AJ18" i="4"/>
  <c r="AK18"/>
  <c r="J18" i="16" s="1"/>
  <c r="AV18" i="4"/>
  <c r="AW18"/>
  <c r="P18" i="16" s="1"/>
  <c r="W19" i="4"/>
  <c r="E19" i="16" s="1"/>
  <c r="AJ19" i="4"/>
  <c r="AK19"/>
  <c r="J19" i="16" s="1"/>
  <c r="AV19" i="4"/>
  <c r="AW19"/>
  <c r="P19" i="16" s="1"/>
  <c r="W20" i="4"/>
  <c r="E20" i="16" s="1"/>
  <c r="AJ20" i="4"/>
  <c r="AK20"/>
  <c r="J20" i="16" s="1"/>
  <c r="AV20" i="4"/>
  <c r="AW20"/>
  <c r="P20" i="16" s="1"/>
  <c r="W21" i="4"/>
  <c r="E21" i="16" s="1"/>
  <c r="AJ21" i="4"/>
  <c r="AK21"/>
  <c r="J21" i="16" s="1"/>
  <c r="AV21" i="4"/>
  <c r="AW21"/>
  <c r="P21" i="16" s="1"/>
  <c r="W22" i="4"/>
  <c r="E22" i="16" s="1"/>
  <c r="AJ22" i="4"/>
  <c r="AK22"/>
  <c r="J22" i="16" s="1"/>
  <c r="W23" i="4"/>
  <c r="E23" i="16" s="1"/>
  <c r="AJ23" i="4"/>
  <c r="AK23"/>
  <c r="J23" i="16" s="1"/>
  <c r="AV23" i="4"/>
  <c r="AW23"/>
  <c r="P23" i="16" s="1"/>
  <c r="W24" i="4"/>
  <c r="E24" i="16" s="1"/>
  <c r="AJ24" i="4"/>
  <c r="AK24"/>
  <c r="J24" i="16" s="1"/>
  <c r="AV24" i="4"/>
  <c r="W25"/>
  <c r="E25" i="16" s="1"/>
  <c r="AJ25" i="4"/>
  <c r="AK25"/>
  <c r="J25" i="16" s="1"/>
  <c r="AV25" i="4"/>
  <c r="AW25"/>
  <c r="P25" i="16" s="1"/>
  <c r="W26" i="4"/>
  <c r="E26" i="16" s="1"/>
  <c r="AJ26" i="4"/>
  <c r="AK26"/>
  <c r="J26" i="16" s="1"/>
  <c r="AV26" i="4"/>
  <c r="AW26"/>
  <c r="P26" i="16" s="1"/>
  <c r="W27" i="4"/>
  <c r="E27" i="16" s="1"/>
  <c r="Z27" i="4"/>
  <c r="AC27"/>
  <c r="AF27"/>
  <c r="H27" i="23" s="1"/>
  <c r="AG27" i="4"/>
  <c r="AH27"/>
  <c r="W28"/>
  <c r="E28" i="16" s="1"/>
  <c r="AJ28" i="4"/>
  <c r="AK28"/>
  <c r="J28" i="16" s="1"/>
  <c r="AV28" i="4"/>
  <c r="AW28"/>
  <c r="P28" i="16" s="1"/>
  <c r="W30" i="4"/>
  <c r="E30" i="16" s="1"/>
  <c r="AJ30" i="4"/>
  <c r="AK30"/>
  <c r="J30" i="16" s="1"/>
  <c r="AV30" i="4"/>
  <c r="AW30"/>
  <c r="P30" i="16" s="1"/>
  <c r="W31" i="4"/>
  <c r="E31" i="16" s="1"/>
  <c r="AJ31" i="4"/>
  <c r="AK31"/>
  <c r="J31" i="16" s="1"/>
  <c r="AV31" i="4"/>
  <c r="AW31"/>
  <c r="P31" i="16" s="1"/>
  <c r="W32" i="4"/>
  <c r="E32" i="16" s="1"/>
  <c r="AJ32" i="4"/>
  <c r="AK32"/>
  <c r="J32" i="16" s="1"/>
  <c r="AV32" i="4"/>
  <c r="AW32"/>
  <c r="P32" i="16" s="1"/>
  <c r="W33" i="4"/>
  <c r="E33" i="16" s="1"/>
  <c r="AJ33" i="4"/>
  <c r="AK33"/>
  <c r="J33" i="16" s="1"/>
  <c r="AV33" i="4"/>
  <c r="AW33"/>
  <c r="P33" i="16" s="1"/>
  <c r="W34" i="4"/>
  <c r="E34" i="16" s="1"/>
  <c r="AJ34" i="4"/>
  <c r="AK34"/>
  <c r="J34" i="16" s="1"/>
  <c r="AV34" i="4"/>
  <c r="AW34"/>
  <c r="P34" i="16" s="1"/>
  <c r="W35" i="4"/>
  <c r="E35" i="16" s="1"/>
  <c r="AJ35" i="4"/>
  <c r="AK35"/>
  <c r="J35" i="16" s="1"/>
  <c r="AV35" i="4"/>
  <c r="AW35"/>
  <c r="P35" i="16" s="1"/>
  <c r="W36" i="4"/>
  <c r="E36" i="16" s="1"/>
  <c r="AJ36" i="4"/>
  <c r="AK36"/>
  <c r="J36" i="16" s="1"/>
  <c r="AV36" i="4"/>
  <c r="AW36"/>
  <c r="P36" i="16" s="1"/>
  <c r="W37" i="4"/>
  <c r="E37" i="16" s="1"/>
  <c r="AJ37" i="4"/>
  <c r="AK37"/>
  <c r="J37" i="16" s="1"/>
  <c r="AV37" i="4"/>
  <c r="AW37"/>
  <c r="P37" i="16" s="1"/>
  <c r="W38" i="4"/>
  <c r="E38" i="16" s="1"/>
  <c r="AJ38" i="4"/>
  <c r="AK38"/>
  <c r="J38" i="16" s="1"/>
  <c r="AV38" i="4"/>
  <c r="AW38"/>
  <c r="P38" i="16" s="1"/>
  <c r="W39" i="4"/>
  <c r="E39" i="16" s="1"/>
  <c r="AJ39" i="4"/>
  <c r="AK39"/>
  <c r="J39" i="16" s="1"/>
  <c r="AV39" i="4"/>
  <c r="AW39"/>
  <c r="P39" i="16" s="1"/>
  <c r="W40" i="4"/>
  <c r="E40" i="16" s="1"/>
  <c r="AJ40" i="4"/>
  <c r="AK40"/>
  <c r="J40" i="16" s="1"/>
  <c r="AV40" i="4"/>
  <c r="AW40"/>
  <c r="P40" i="16" s="1"/>
  <c r="AI41" i="12" l="1"/>
  <c r="H41" i="18" s="1"/>
  <c r="BJ9" i="12"/>
  <c r="Z9" i="18" s="1"/>
  <c r="AX25" i="4"/>
  <c r="Q25" i="16" s="1"/>
  <c r="BM32" i="14"/>
  <c r="H14" i="7"/>
  <c r="BM32" i="4"/>
  <c r="H34" i="7"/>
  <c r="H5"/>
  <c r="F39"/>
  <c r="H26"/>
  <c r="H27"/>
  <c r="H19"/>
  <c r="H4"/>
  <c r="H15"/>
  <c r="H25"/>
  <c r="H10"/>
  <c r="H6"/>
  <c r="H33"/>
  <c r="H24"/>
  <c r="H9"/>
  <c r="H8"/>
  <c r="H16"/>
  <c r="H17"/>
  <c r="H32"/>
  <c r="H23"/>
  <c r="H20"/>
  <c r="H28"/>
  <c r="H36"/>
  <c r="H11"/>
  <c r="H31"/>
  <c r="H12"/>
  <c r="H22"/>
  <c r="H30"/>
  <c r="H38"/>
  <c r="H13"/>
  <c r="H21"/>
  <c r="H29"/>
  <c r="H37"/>
  <c r="H9" i="32"/>
  <c r="D10"/>
  <c r="BM7" i="14"/>
  <c r="BM21"/>
  <c r="BM8"/>
  <c r="BM12"/>
  <c r="BM33"/>
  <c r="BM36"/>
  <c r="BM19"/>
  <c r="BM9"/>
  <c r="BM30"/>
  <c r="BM34"/>
  <c r="BL41"/>
  <c r="BM18"/>
  <c r="BM22"/>
  <c r="BM17"/>
  <c r="BM14"/>
  <c r="H8" i="33"/>
  <c r="J13"/>
  <c r="J37"/>
  <c r="BM22" i="12"/>
  <c r="J12" i="33"/>
  <c r="J25"/>
  <c r="J15"/>
  <c r="J17"/>
  <c r="J39"/>
  <c r="J29"/>
  <c r="H7" i="32"/>
  <c r="D9"/>
  <c r="D7"/>
  <c r="D5"/>
  <c r="BJ39" i="4"/>
  <c r="Z39" i="16" s="1"/>
  <c r="BJ35" i="4"/>
  <c r="Z35" i="16" s="1"/>
  <c r="BJ31" i="4"/>
  <c r="Z31" i="16" s="1"/>
  <c r="C8" i="32"/>
  <c r="C10"/>
  <c r="C6"/>
  <c r="BM20" i="12"/>
  <c r="BM26"/>
  <c r="T41" i="21"/>
  <c r="N41"/>
  <c r="W41"/>
  <c r="H41"/>
  <c r="E40" i="37"/>
  <c r="I41" i="21"/>
  <c r="G40" i="37"/>
  <c r="O41" i="21"/>
  <c r="J40" i="37"/>
  <c r="X41" i="21"/>
  <c r="E41"/>
  <c r="J41"/>
  <c r="P41"/>
  <c r="Y41"/>
  <c r="T9" i="18"/>
  <c r="R41"/>
  <c r="U41"/>
  <c r="W9"/>
  <c r="N41"/>
  <c r="F41"/>
  <c r="D40" i="36"/>
  <c r="I41" i="18"/>
  <c r="X9"/>
  <c r="J8" i="36"/>
  <c r="O27" i="18"/>
  <c r="G26" i="36"/>
  <c r="X27" i="18"/>
  <c r="J26" i="36"/>
  <c r="I27" i="18"/>
  <c r="E26" i="36"/>
  <c r="R9" i="16"/>
  <c r="H8" i="35"/>
  <c r="I8"/>
  <c r="V9" i="16"/>
  <c r="U9"/>
  <c r="W6"/>
  <c r="N6"/>
  <c r="W26"/>
  <c r="N26"/>
  <c r="W25"/>
  <c r="N25"/>
  <c r="W24"/>
  <c r="N24"/>
  <c r="W23"/>
  <c r="N23"/>
  <c r="W22"/>
  <c r="N22"/>
  <c r="W21"/>
  <c r="N21"/>
  <c r="W20"/>
  <c r="N20"/>
  <c r="W19"/>
  <c r="N19"/>
  <c r="W18"/>
  <c r="N18"/>
  <c r="W17"/>
  <c r="N17"/>
  <c r="W15"/>
  <c r="N15"/>
  <c r="W14"/>
  <c r="N14"/>
  <c r="W13"/>
  <c r="N13"/>
  <c r="W12"/>
  <c r="N12"/>
  <c r="W11"/>
  <c r="N11"/>
  <c r="W10"/>
  <c r="N10"/>
  <c r="N9"/>
  <c r="W8"/>
  <c r="N8"/>
  <c r="W7"/>
  <c r="N7"/>
  <c r="W39"/>
  <c r="N39"/>
  <c r="W37"/>
  <c r="N37"/>
  <c r="W35"/>
  <c r="N35"/>
  <c r="W33"/>
  <c r="N33"/>
  <c r="W31"/>
  <c r="N31"/>
  <c r="W27"/>
  <c r="N27"/>
  <c r="L41"/>
  <c r="F40" i="35"/>
  <c r="M41" i="16"/>
  <c r="W40"/>
  <c r="N40"/>
  <c r="W38"/>
  <c r="N38"/>
  <c r="W36"/>
  <c r="N36"/>
  <c r="W34"/>
  <c r="N34"/>
  <c r="W32"/>
  <c r="N32"/>
  <c r="W30"/>
  <c r="N30"/>
  <c r="W28"/>
  <c r="N28"/>
  <c r="AK27" i="4"/>
  <c r="J27" i="16" s="1"/>
  <c r="G27"/>
  <c r="AJ27" i="4"/>
  <c r="AJ41" s="1"/>
  <c r="F27" i="16"/>
  <c r="D26" i="35"/>
  <c r="O40" i="16"/>
  <c r="G39" i="35"/>
  <c r="I40" i="16"/>
  <c r="E39" i="35"/>
  <c r="O39" i="16"/>
  <c r="G38" i="35"/>
  <c r="I39" i="16"/>
  <c r="E38" i="35"/>
  <c r="O38" i="16"/>
  <c r="G37" i="35"/>
  <c r="I38" i="16"/>
  <c r="E37" i="35"/>
  <c r="O37" i="16"/>
  <c r="G36" i="35"/>
  <c r="I37" i="16"/>
  <c r="E36" i="35"/>
  <c r="O36" i="16"/>
  <c r="G35" i="35"/>
  <c r="I36" i="16"/>
  <c r="E35" i="35"/>
  <c r="O35" i="16"/>
  <c r="G34" i="35"/>
  <c r="I35" i="16"/>
  <c r="E34" i="35"/>
  <c r="O34" i="16"/>
  <c r="G33" i="35"/>
  <c r="I34" i="16"/>
  <c r="E33" i="35"/>
  <c r="O33" i="16"/>
  <c r="G32" i="35"/>
  <c r="I33" i="16"/>
  <c r="E32" i="35"/>
  <c r="O32" i="16"/>
  <c r="G31" i="35"/>
  <c r="I32" i="16"/>
  <c r="E31" i="35"/>
  <c r="O31" i="16"/>
  <c r="G30" i="35"/>
  <c r="I31" i="16"/>
  <c r="E30" i="35"/>
  <c r="O30" i="16"/>
  <c r="G29" i="35"/>
  <c r="I30" i="16"/>
  <c r="E29" i="35"/>
  <c r="O28" i="16"/>
  <c r="G27" i="35"/>
  <c r="I28" i="16"/>
  <c r="E27" i="35"/>
  <c r="O26" i="16"/>
  <c r="G25" i="35"/>
  <c r="I26" i="16"/>
  <c r="E25" i="35"/>
  <c r="O25" i="16"/>
  <c r="G24" i="35"/>
  <c r="I25" i="16"/>
  <c r="E24" i="35"/>
  <c r="O24" i="16"/>
  <c r="G23" i="35"/>
  <c r="I24" i="16"/>
  <c r="E23" i="35"/>
  <c r="O23" i="16"/>
  <c r="G22" i="35"/>
  <c r="I23" i="16"/>
  <c r="E22" i="35"/>
  <c r="O22" i="16"/>
  <c r="G21" i="35"/>
  <c r="I22" i="16"/>
  <c r="E21" i="35"/>
  <c r="O21" i="16"/>
  <c r="G20" i="35"/>
  <c r="I21" i="16"/>
  <c r="E20" i="35"/>
  <c r="O20" i="16"/>
  <c r="G19" i="35"/>
  <c r="I20" i="16"/>
  <c r="E19" i="35"/>
  <c r="O19" i="16"/>
  <c r="G18" i="35"/>
  <c r="I19" i="16"/>
  <c r="E18" i="35"/>
  <c r="O18" i="16"/>
  <c r="G17" i="35"/>
  <c r="I18" i="16"/>
  <c r="E17" i="35"/>
  <c r="O17" i="16"/>
  <c r="G16" i="35"/>
  <c r="I17" i="16"/>
  <c r="E16" i="35"/>
  <c r="O15" i="16"/>
  <c r="G14" i="35"/>
  <c r="I15" i="16"/>
  <c r="E14" i="35"/>
  <c r="O14" i="16"/>
  <c r="G13" i="35"/>
  <c r="I14" i="16"/>
  <c r="E13" i="35"/>
  <c r="O13" i="16"/>
  <c r="G12" i="35"/>
  <c r="I13" i="16"/>
  <c r="E12" i="35"/>
  <c r="O12" i="16"/>
  <c r="G11" i="35"/>
  <c r="I12" i="16"/>
  <c r="E11" i="35"/>
  <c r="O11" i="16"/>
  <c r="G10" i="35"/>
  <c r="I11" i="16"/>
  <c r="E10" i="35"/>
  <c r="O10" i="16"/>
  <c r="G9" i="35"/>
  <c r="I10" i="16"/>
  <c r="E9" i="35"/>
  <c r="O9" i="16"/>
  <c r="G8" i="35"/>
  <c r="I9" i="16"/>
  <c r="E8" i="35"/>
  <c r="O8" i="16"/>
  <c r="G7" i="35"/>
  <c r="I8" i="16"/>
  <c r="E7" i="35"/>
  <c r="O7" i="16"/>
  <c r="G6" i="35"/>
  <c r="I7" i="16"/>
  <c r="E6" i="35"/>
  <c r="Y6" i="16"/>
  <c r="X6"/>
  <c r="J5" i="35"/>
  <c r="O6" i="16"/>
  <c r="G5" i="35"/>
  <c r="I6" i="16"/>
  <c r="E5" i="35"/>
  <c r="X39" i="16"/>
  <c r="J38" i="35"/>
  <c r="X38" i="16"/>
  <c r="J37" i="35"/>
  <c r="X37" i="16"/>
  <c r="J36" i="35"/>
  <c r="X36" i="16"/>
  <c r="J35" i="35"/>
  <c r="X35" i="16"/>
  <c r="J34" i="35"/>
  <c r="X34" i="16"/>
  <c r="J33" i="35"/>
  <c r="X33" i="16"/>
  <c r="J32" i="35"/>
  <c r="X32" i="16"/>
  <c r="J31" i="35"/>
  <c r="X31" i="16"/>
  <c r="J30" i="35"/>
  <c r="X30" i="16"/>
  <c r="J29" i="35"/>
  <c r="BK28" i="4"/>
  <c r="X28" i="16"/>
  <c r="J27" i="35"/>
  <c r="Y26" i="16"/>
  <c r="Y25"/>
  <c r="Y24"/>
  <c r="Y23"/>
  <c r="Y22"/>
  <c r="Y21"/>
  <c r="Y20"/>
  <c r="Y19"/>
  <c r="Y18"/>
  <c r="Y17"/>
  <c r="Y16"/>
  <c r="Y15"/>
  <c r="Y14"/>
  <c r="Y13"/>
  <c r="Y12"/>
  <c r="Y11"/>
  <c r="Y10"/>
  <c r="Y8"/>
  <c r="Y7"/>
  <c r="X40"/>
  <c r="J39" i="35"/>
  <c r="Y39" i="16"/>
  <c r="Y37"/>
  <c r="Y35"/>
  <c r="Y33"/>
  <c r="Y31"/>
  <c r="X25"/>
  <c r="J24" i="35"/>
  <c r="X23" i="16"/>
  <c r="J22" i="35"/>
  <c r="X21" i="16"/>
  <c r="J20" i="35"/>
  <c r="X19" i="16"/>
  <c r="J18" i="35"/>
  <c r="X17" i="16"/>
  <c r="J16" i="35"/>
  <c r="X15" i="16"/>
  <c r="J14" i="35"/>
  <c r="X13" i="16"/>
  <c r="J12" i="35"/>
  <c r="X11" i="16"/>
  <c r="J10" i="35"/>
  <c r="X7" i="16"/>
  <c r="J6" i="35"/>
  <c r="D41" i="16"/>
  <c r="C40" i="35"/>
  <c r="X8" i="16"/>
  <c r="J7" i="35"/>
  <c r="Y40" i="16"/>
  <c r="Y38"/>
  <c r="Y36"/>
  <c r="Y34"/>
  <c r="Y32"/>
  <c r="Y30"/>
  <c r="Y28"/>
  <c r="X26"/>
  <c r="J25" i="35"/>
  <c r="BK24" i="4"/>
  <c r="X24" i="16"/>
  <c r="J23" i="35"/>
  <c r="X22" i="16"/>
  <c r="J21" i="35"/>
  <c r="X20" i="16"/>
  <c r="J19" i="35"/>
  <c r="X18" i="16"/>
  <c r="J17" i="35"/>
  <c r="BK16" i="4"/>
  <c r="X16" i="16"/>
  <c r="J15" i="35"/>
  <c r="X14" i="16"/>
  <c r="J13" i="35"/>
  <c r="X12" i="16"/>
  <c r="J11" i="35"/>
  <c r="X10" i="16"/>
  <c r="J9" i="35"/>
  <c r="H39" i="32"/>
  <c r="I39"/>
  <c r="C38"/>
  <c r="H37"/>
  <c r="I37"/>
  <c r="C36"/>
  <c r="H35"/>
  <c r="I35"/>
  <c r="C34"/>
  <c r="H33"/>
  <c r="I33"/>
  <c r="C32"/>
  <c r="H31"/>
  <c r="I31"/>
  <c r="C30"/>
  <c r="H29"/>
  <c r="I29"/>
  <c r="C28"/>
  <c r="H27"/>
  <c r="I27"/>
  <c r="I24"/>
  <c r="D24"/>
  <c r="I22"/>
  <c r="D22"/>
  <c r="I20"/>
  <c r="D20"/>
  <c r="I18"/>
  <c r="D18"/>
  <c r="I16"/>
  <c r="F14"/>
  <c r="I12"/>
  <c r="F10"/>
  <c r="I7"/>
  <c r="I5"/>
  <c r="F8"/>
  <c r="I6"/>
  <c r="C39"/>
  <c r="I38"/>
  <c r="D38"/>
  <c r="C37"/>
  <c r="I36"/>
  <c r="D36"/>
  <c r="C35"/>
  <c r="I34"/>
  <c r="D34"/>
  <c r="C33"/>
  <c r="I32"/>
  <c r="D32"/>
  <c r="C31"/>
  <c r="I30"/>
  <c r="D30"/>
  <c r="C29"/>
  <c r="I28"/>
  <c r="D28"/>
  <c r="C27"/>
  <c r="I26"/>
  <c r="C26"/>
  <c r="H25"/>
  <c r="I25"/>
  <c r="F23"/>
  <c r="D23"/>
  <c r="C22"/>
  <c r="H21"/>
  <c r="I21"/>
  <c r="F19"/>
  <c r="D19"/>
  <c r="C18"/>
  <c r="H17"/>
  <c r="I17"/>
  <c r="I15"/>
  <c r="F13"/>
  <c r="F11"/>
  <c r="F9"/>
  <c r="J35" i="34"/>
  <c r="E6"/>
  <c r="E8"/>
  <c r="E11"/>
  <c r="E13"/>
  <c r="E15"/>
  <c r="E17"/>
  <c r="E19"/>
  <c r="E21"/>
  <c r="E23"/>
  <c r="E27"/>
  <c r="E35"/>
  <c r="E14"/>
  <c r="G7"/>
  <c r="G18"/>
  <c r="E20"/>
  <c r="G26"/>
  <c r="G28"/>
  <c r="E30"/>
  <c r="G32"/>
  <c r="E38"/>
  <c r="G27"/>
  <c r="G29"/>
  <c r="G31"/>
  <c r="G35"/>
  <c r="G6"/>
  <c r="J9"/>
  <c r="E10"/>
  <c r="J16"/>
  <c r="G17"/>
  <c r="J20"/>
  <c r="G21"/>
  <c r="J24"/>
  <c r="J26"/>
  <c r="J27"/>
  <c r="J30"/>
  <c r="J38"/>
  <c r="J28"/>
  <c r="J32"/>
  <c r="J36"/>
  <c r="J6"/>
  <c r="J11"/>
  <c r="J15"/>
  <c r="J19"/>
  <c r="J23"/>
  <c r="E29"/>
  <c r="E5"/>
  <c r="G5"/>
  <c r="E7"/>
  <c r="E9"/>
  <c r="G20"/>
  <c r="E22"/>
  <c r="E28"/>
  <c r="G30"/>
  <c r="G38"/>
  <c r="I8" i="33"/>
  <c r="G7"/>
  <c r="G14"/>
  <c r="G18"/>
  <c r="G20"/>
  <c r="G22"/>
  <c r="G24"/>
  <c r="G32"/>
  <c r="G9"/>
  <c r="G11"/>
  <c r="E14"/>
  <c r="E18"/>
  <c r="E20"/>
  <c r="E30"/>
  <c r="E34"/>
  <c r="E11"/>
  <c r="E13"/>
  <c r="G15"/>
  <c r="E17"/>
  <c r="C40" i="34"/>
  <c r="G8" i="33"/>
  <c r="G10"/>
  <c r="G19"/>
  <c r="G21"/>
  <c r="G25"/>
  <c r="D26"/>
  <c r="G27"/>
  <c r="G29"/>
  <c r="G31"/>
  <c r="G35"/>
  <c r="E37"/>
  <c r="E39"/>
  <c r="G36"/>
  <c r="F40" i="34"/>
  <c r="E10" i="33"/>
  <c r="G39"/>
  <c r="F39" i="32"/>
  <c r="D39"/>
  <c r="F37"/>
  <c r="D37"/>
  <c r="F35"/>
  <c r="D35"/>
  <c r="F33"/>
  <c r="D33"/>
  <c r="F31"/>
  <c r="D31"/>
  <c r="F29"/>
  <c r="D29"/>
  <c r="F27"/>
  <c r="D27"/>
  <c r="C25"/>
  <c r="H24"/>
  <c r="F24"/>
  <c r="C23"/>
  <c r="H22"/>
  <c r="F22"/>
  <c r="C21"/>
  <c r="H20"/>
  <c r="F20"/>
  <c r="C19"/>
  <c r="H18"/>
  <c r="F18"/>
  <c r="C17"/>
  <c r="H16"/>
  <c r="F16"/>
  <c r="I14"/>
  <c r="F12"/>
  <c r="I10"/>
  <c r="F7"/>
  <c r="F5"/>
  <c r="F6"/>
  <c r="H38"/>
  <c r="F38"/>
  <c r="H36"/>
  <c r="F36"/>
  <c r="H34"/>
  <c r="F34"/>
  <c r="H32"/>
  <c r="F32"/>
  <c r="H30"/>
  <c r="F30"/>
  <c r="H28"/>
  <c r="F28"/>
  <c r="H26"/>
  <c r="F26"/>
  <c r="F25"/>
  <c r="D25"/>
  <c r="C24"/>
  <c r="H23"/>
  <c r="I23"/>
  <c r="F21"/>
  <c r="D21"/>
  <c r="C20"/>
  <c r="H19"/>
  <c r="I19"/>
  <c r="F17"/>
  <c r="D17"/>
  <c r="F15"/>
  <c r="I13"/>
  <c r="I11"/>
  <c r="I9"/>
  <c r="J5" i="34"/>
  <c r="G33"/>
  <c r="G13"/>
  <c r="E31"/>
  <c r="J14"/>
  <c r="J10"/>
  <c r="G9"/>
  <c r="E16"/>
  <c r="G22"/>
  <c r="G24"/>
  <c r="E36"/>
  <c r="J7"/>
  <c r="G8"/>
  <c r="G11"/>
  <c r="G15"/>
  <c r="J18"/>
  <c r="G19"/>
  <c r="J22"/>
  <c r="G23"/>
  <c r="J31"/>
  <c r="J29"/>
  <c r="J33"/>
  <c r="J8"/>
  <c r="J13"/>
  <c r="J17"/>
  <c r="J21"/>
  <c r="E33"/>
  <c r="G14"/>
  <c r="G10"/>
  <c r="G16"/>
  <c r="E18"/>
  <c r="E24"/>
  <c r="E26"/>
  <c r="E32"/>
  <c r="G36"/>
  <c r="C40" i="33"/>
  <c r="G5"/>
  <c r="G12"/>
  <c r="G28"/>
  <c r="G30"/>
  <c r="G34"/>
  <c r="E5"/>
  <c r="E7"/>
  <c r="E22"/>
  <c r="E24"/>
  <c r="E28"/>
  <c r="E32"/>
  <c r="E36"/>
  <c r="E9"/>
  <c r="F40"/>
  <c r="J34"/>
  <c r="J32"/>
  <c r="J9"/>
  <c r="J11"/>
  <c r="J19"/>
  <c r="J21"/>
  <c r="J5"/>
  <c r="J16"/>
  <c r="J18"/>
  <c r="J20"/>
  <c r="G13"/>
  <c r="E8"/>
  <c r="E21"/>
  <c r="E25"/>
  <c r="E27"/>
  <c r="E29"/>
  <c r="E35"/>
  <c r="G37"/>
  <c r="C16" i="32"/>
  <c r="H15"/>
  <c r="D15"/>
  <c r="C14"/>
  <c r="H13"/>
  <c r="D13"/>
  <c r="C12"/>
  <c r="H11"/>
  <c r="D11"/>
  <c r="C7"/>
  <c r="C5"/>
  <c r="J27" i="33"/>
  <c r="J28"/>
  <c r="J30"/>
  <c r="J31"/>
  <c r="J35"/>
  <c r="J14"/>
  <c r="J22"/>
  <c r="J24"/>
  <c r="J36"/>
  <c r="E15"/>
  <c r="G17"/>
  <c r="E12"/>
  <c r="E19"/>
  <c r="E31"/>
  <c r="D16" i="32"/>
  <c r="C15"/>
  <c r="H14"/>
  <c r="D14"/>
  <c r="C13"/>
  <c r="H12"/>
  <c r="D12"/>
  <c r="C11"/>
  <c r="C9"/>
  <c r="AB41" i="6"/>
  <c r="Z41"/>
  <c r="X41"/>
  <c r="V41"/>
  <c r="S41"/>
  <c r="Q41"/>
  <c r="O41"/>
  <c r="M41"/>
  <c r="D7" i="7"/>
  <c r="J9" i="6"/>
  <c r="H9"/>
  <c r="D9"/>
  <c r="D18" i="7"/>
  <c r="D20" i="6"/>
  <c r="J20"/>
  <c r="F20"/>
  <c r="E39" i="7"/>
  <c r="BM29" i="14"/>
  <c r="BM37"/>
  <c r="Q41" i="23"/>
  <c r="G46" s="1"/>
  <c r="BM7" i="12"/>
  <c r="AL27"/>
  <c r="K27" i="18" s="1"/>
  <c r="AL41" i="14"/>
  <c r="BM16"/>
  <c r="BM11"/>
  <c r="BM20"/>
  <c r="BM24"/>
  <c r="BM38"/>
  <c r="BM31"/>
  <c r="BM10"/>
  <c r="BM15"/>
  <c r="AW27" i="4"/>
  <c r="P27" i="16" s="1"/>
  <c r="F41" i="23"/>
  <c r="D46" s="1"/>
  <c r="G41"/>
  <c r="E46" s="1"/>
  <c r="E41"/>
  <c r="F45" s="1"/>
  <c r="K41"/>
  <c r="F47" s="1"/>
  <c r="AC41" i="4"/>
  <c r="BI27"/>
  <c r="AF41"/>
  <c r="Z41"/>
  <c r="BA41"/>
  <c r="BK39"/>
  <c r="BJ37"/>
  <c r="Z37" i="16" s="1"/>
  <c r="BK35" i="4"/>
  <c r="BJ33"/>
  <c r="Z33" i="16" s="1"/>
  <c r="BK31" i="4"/>
  <c r="BK40"/>
  <c r="BL39"/>
  <c r="BL37"/>
  <c r="BM37" s="1"/>
  <c r="BL35"/>
  <c r="BL33"/>
  <c r="BM33" s="1"/>
  <c r="BL31"/>
  <c r="BL29"/>
  <c r="BM29" s="1"/>
  <c r="BL40"/>
  <c r="BL38"/>
  <c r="BM38" s="1"/>
  <c r="BL36"/>
  <c r="BM36" s="1"/>
  <c r="BL34"/>
  <c r="BM34" s="1"/>
  <c r="BL30"/>
  <c r="BM30" s="1"/>
  <c r="BL28"/>
  <c r="AV27"/>
  <c r="BI9"/>
  <c r="BD41"/>
  <c r="BJ38"/>
  <c r="Z38" i="16" s="1"/>
  <c r="BJ36" i="4"/>
  <c r="Z36" i="16" s="1"/>
  <c r="BJ34" i="4"/>
  <c r="Z34" i="16" s="1"/>
  <c r="BJ32" i="4"/>
  <c r="Z32" i="16" s="1"/>
  <c r="BJ30" i="4"/>
  <c r="Z30" i="16" s="1"/>
  <c r="BJ28" i="4"/>
  <c r="Z28" i="16" s="1"/>
  <c r="BL26" i="4"/>
  <c r="BM26" s="1"/>
  <c r="BL25"/>
  <c r="BL24"/>
  <c r="BL23"/>
  <c r="BM23" s="1"/>
  <c r="BL22"/>
  <c r="BM22" s="1"/>
  <c r="BL21"/>
  <c r="BL20"/>
  <c r="BM20" s="1"/>
  <c r="BL19"/>
  <c r="BM19" s="1"/>
  <c r="BL18"/>
  <c r="BM18" s="1"/>
  <c r="BL17"/>
  <c r="BL16"/>
  <c r="BL15"/>
  <c r="BM15" s="1"/>
  <c r="BL14"/>
  <c r="BM14" s="1"/>
  <c r="BL12"/>
  <c r="BM12" s="1"/>
  <c r="BL11"/>
  <c r="BM11" s="1"/>
  <c r="BL10"/>
  <c r="BM10" s="1"/>
  <c r="BL8"/>
  <c r="BM8" s="1"/>
  <c r="BL7"/>
  <c r="BM7" s="1"/>
  <c r="BK25"/>
  <c r="BK21"/>
  <c r="BK17"/>
  <c r="BJ41" i="14"/>
  <c r="Z41" i="21" s="1"/>
  <c r="AX41" i="14"/>
  <c r="BM29" i="12"/>
  <c r="BM35"/>
  <c r="BM39"/>
  <c r="BL27"/>
  <c r="BM27" s="1"/>
  <c r="BM13"/>
  <c r="BM40"/>
  <c r="BM14"/>
  <c r="BM18"/>
  <c r="BM11"/>
  <c r="BM16"/>
  <c r="BM38"/>
  <c r="BM12"/>
  <c r="BM28"/>
  <c r="BM30"/>
  <c r="BM32"/>
  <c r="BM36"/>
  <c r="BM10"/>
  <c r="BM31"/>
  <c r="BM33"/>
  <c r="BM37"/>
  <c r="BM15"/>
  <c r="BM19"/>
  <c r="BH41"/>
  <c r="BM17"/>
  <c r="BM21"/>
  <c r="BM23"/>
  <c r="BM25"/>
  <c r="BJ27"/>
  <c r="Z27" i="18" s="1"/>
  <c r="BL9" i="12"/>
  <c r="BK41" i="14"/>
  <c r="AX27" i="12"/>
  <c r="BK9"/>
  <c r="BM6"/>
  <c r="AV41"/>
  <c r="BJ7" i="4"/>
  <c r="Z7" i="16" s="1"/>
  <c r="BJ40" i="4"/>
  <c r="Z40" i="16" s="1"/>
  <c r="AU41" i="4"/>
  <c r="BJ8"/>
  <c r="Z8" i="16" s="1"/>
  <c r="BJ26" i="4"/>
  <c r="Z26" i="16" s="1"/>
  <c r="BJ25" i="4"/>
  <c r="Z25" i="16" s="1"/>
  <c r="BJ24" i="4"/>
  <c r="Z24" i="16" s="1"/>
  <c r="BJ23" i="4"/>
  <c r="Z23" i="16" s="1"/>
  <c r="BJ22" i="4"/>
  <c r="Z22" i="16" s="1"/>
  <c r="BJ21" i="4"/>
  <c r="Z21" i="16" s="1"/>
  <c r="BJ20" i="4"/>
  <c r="Z20" i="16" s="1"/>
  <c r="BJ19" i="4"/>
  <c r="Z19" i="16" s="1"/>
  <c r="BJ18" i="4"/>
  <c r="Z18" i="16" s="1"/>
  <c r="BJ17" i="4"/>
  <c r="Z17" i="16" s="1"/>
  <c r="BJ16" i="4"/>
  <c r="Z16" i="16" s="1"/>
  <c r="BJ15" i="4"/>
  <c r="Z15" i="16" s="1"/>
  <c r="BJ14" i="4"/>
  <c r="Z14" i="16" s="1"/>
  <c r="Z13"/>
  <c r="BJ12" i="4"/>
  <c r="Z12" i="16" s="1"/>
  <c r="BJ11" i="4"/>
  <c r="Z11" i="16" s="1"/>
  <c r="BJ10" i="4"/>
  <c r="Z10" i="16" s="1"/>
  <c r="BL6" i="4"/>
  <c r="BK6"/>
  <c r="BJ6"/>
  <c r="Z6" i="16" s="1"/>
  <c r="AX6" i="4"/>
  <c r="Q6" i="16" s="1"/>
  <c r="AL6" i="4"/>
  <c r="K6" i="16" s="1"/>
  <c r="AX40" i="4"/>
  <c r="Q40" i="16" s="1"/>
  <c r="AL40" i="4"/>
  <c r="K40" i="16" s="1"/>
  <c r="AX39" i="4"/>
  <c r="Q39" i="16" s="1"/>
  <c r="AL39" i="4"/>
  <c r="K39" i="16" s="1"/>
  <c r="AX38" i="4"/>
  <c r="Q38" i="16" s="1"/>
  <c r="AL38" i="4"/>
  <c r="K38" i="16" s="1"/>
  <c r="AX37" i="4"/>
  <c r="Q37" i="16" s="1"/>
  <c r="AL37" i="4"/>
  <c r="K37" i="16" s="1"/>
  <c r="AX36" i="4"/>
  <c r="Q36" i="16" s="1"/>
  <c r="AL36" i="4"/>
  <c r="K36" i="16" s="1"/>
  <c r="AX35" i="4"/>
  <c r="Q35" i="16" s="1"/>
  <c r="AL35" i="4"/>
  <c r="K35" i="16" s="1"/>
  <c r="AX34" i="4"/>
  <c r="Q34" i="16" s="1"/>
  <c r="AL34" i="4"/>
  <c r="K34" i="16" s="1"/>
  <c r="AX33" i="4"/>
  <c r="Q33" i="16" s="1"/>
  <c r="AL33" i="4"/>
  <c r="K33" i="16" s="1"/>
  <c r="AX32" i="4"/>
  <c r="Q32" i="16" s="1"/>
  <c r="AL32" i="4"/>
  <c r="K32" i="16" s="1"/>
  <c r="AX31" i="4"/>
  <c r="Q31" i="16" s="1"/>
  <c r="AL31" i="4"/>
  <c r="K31" i="16" s="1"/>
  <c r="AX30" i="4"/>
  <c r="Q30" i="16" s="1"/>
  <c r="AL30" i="4"/>
  <c r="K30" i="16" s="1"/>
  <c r="AX28" i="4"/>
  <c r="Q28" i="16" s="1"/>
  <c r="AL28" i="4"/>
  <c r="K28" i="16" s="1"/>
  <c r="AI27" i="4"/>
  <c r="H27" i="16" s="1"/>
  <c r="AX26" i="4"/>
  <c r="Q26" i="16" s="1"/>
  <c r="AL26" i="4"/>
  <c r="K26" i="16" s="1"/>
  <c r="AL25" i="4"/>
  <c r="K25" i="16" s="1"/>
  <c r="AX24" i="4"/>
  <c r="Q24" i="16" s="1"/>
  <c r="AL24" i="4"/>
  <c r="K24" i="16" s="1"/>
  <c r="AX23" i="4"/>
  <c r="Q23" i="16" s="1"/>
  <c r="AL23" i="4"/>
  <c r="K23" i="16" s="1"/>
  <c r="AX22" i="4"/>
  <c r="Q22" i="16" s="1"/>
  <c r="AL22" i="4"/>
  <c r="K22" i="16" s="1"/>
  <c r="AX21" i="4"/>
  <c r="Q21" i="16" s="1"/>
  <c r="AL21" i="4"/>
  <c r="K21" i="16" s="1"/>
  <c r="AX20" i="4"/>
  <c r="Q20" i="16" s="1"/>
  <c r="AL20" i="4"/>
  <c r="K20" i="16" s="1"/>
  <c r="AX19" i="4"/>
  <c r="Q19" i="16" s="1"/>
  <c r="AL19" i="4"/>
  <c r="K19" i="16" s="1"/>
  <c r="AX18" i="4"/>
  <c r="Q18" i="16" s="1"/>
  <c r="AL18" i="4"/>
  <c r="K18" i="16" s="1"/>
  <c r="AX17" i="4"/>
  <c r="Q17" i="16" s="1"/>
  <c r="AL17" i="4"/>
  <c r="K17" i="16" s="1"/>
  <c r="AX15" i="4"/>
  <c r="Q15" i="16" s="1"/>
  <c r="AL15" i="4"/>
  <c r="K15" i="16" s="1"/>
  <c r="AX14" i="4"/>
  <c r="Q14" i="16" s="1"/>
  <c r="AL14" i="4"/>
  <c r="K14" i="16" s="1"/>
  <c r="Q13"/>
  <c r="K13"/>
  <c r="AX12" i="4"/>
  <c r="Q12" i="16" s="1"/>
  <c r="AL12" i="4"/>
  <c r="K12" i="16" s="1"/>
  <c r="AX11" i="4"/>
  <c r="Q11" i="16" s="1"/>
  <c r="AL11" i="4"/>
  <c r="K11" i="16" s="1"/>
  <c r="AX10" i="4"/>
  <c r="Q10" i="16" s="1"/>
  <c r="AL10" i="4"/>
  <c r="K10" i="16" s="1"/>
  <c r="BG9" i="4"/>
  <c r="T9" i="16" s="1"/>
  <c r="AX9" i="4"/>
  <c r="Q9" i="16" s="1"/>
  <c r="AL9" i="4"/>
  <c r="K9" i="16" s="1"/>
  <c r="AX8" i="4"/>
  <c r="Q8" i="16" s="1"/>
  <c r="AL8" i="4"/>
  <c r="K8" i="16" s="1"/>
  <c r="AX7" i="4"/>
  <c r="Q7" i="16" s="1"/>
  <c r="AL7" i="4"/>
  <c r="K7" i="16" s="1"/>
  <c r="BF41" i="4"/>
  <c r="S41" i="16" s="1"/>
  <c r="BE41" i="4"/>
  <c r="AH41"/>
  <c r="G41" i="16" s="1"/>
  <c r="AG41" i="4"/>
  <c r="W41"/>
  <c r="E41" i="16" s="1"/>
  <c r="D46" s="1"/>
  <c r="BH27" i="4"/>
  <c r="BH9"/>
  <c r="H41" i="6" l="1"/>
  <c r="F41"/>
  <c r="J41"/>
  <c r="D41"/>
  <c r="AX27" i="4"/>
  <c r="Q27" i="16" s="1"/>
  <c r="AV41" i="4"/>
  <c r="AI41"/>
  <c r="H41" i="16" s="1"/>
  <c r="D47" s="1"/>
  <c r="AW41" i="4"/>
  <c r="P41" i="16" s="1"/>
  <c r="BI41" i="4"/>
  <c r="Y41" i="16" s="1"/>
  <c r="AK41" i="4"/>
  <c r="J41" i="16" s="1"/>
  <c r="AL27" i="4"/>
  <c r="K27" i="16" s="1"/>
  <c r="BM28" i="4"/>
  <c r="E26" i="35"/>
  <c r="BM16" i="4"/>
  <c r="I27" i="16"/>
  <c r="BM24" i="4"/>
  <c r="BM21"/>
  <c r="Q41" i="21"/>
  <c r="K41"/>
  <c r="O41" i="18"/>
  <c r="Q27"/>
  <c r="X41"/>
  <c r="R41" i="16"/>
  <c r="H40" i="35"/>
  <c r="I40"/>
  <c r="V41" i="16"/>
  <c r="U41"/>
  <c r="W9"/>
  <c r="N41"/>
  <c r="D48" s="1"/>
  <c r="F41"/>
  <c r="D40" i="35"/>
  <c r="X9" i="16"/>
  <c r="J8" i="35"/>
  <c r="X27" i="16"/>
  <c r="J26" i="35"/>
  <c r="I41" i="16"/>
  <c r="Y9"/>
  <c r="O27"/>
  <c r="G26" i="35"/>
  <c r="Y27" i="16"/>
  <c r="G26" i="33"/>
  <c r="I8" i="32"/>
  <c r="G5"/>
  <c r="G6"/>
  <c r="E8"/>
  <c r="H8"/>
  <c r="J27"/>
  <c r="J33"/>
  <c r="J37"/>
  <c r="C40"/>
  <c r="E28"/>
  <c r="G30"/>
  <c r="E32"/>
  <c r="E34"/>
  <c r="G36"/>
  <c r="E38"/>
  <c r="G27"/>
  <c r="G31"/>
  <c r="G33"/>
  <c r="E37"/>
  <c r="E39"/>
  <c r="G39"/>
  <c r="D40" i="33"/>
  <c r="F40" i="32"/>
  <c r="J6"/>
  <c r="J7"/>
  <c r="J9"/>
  <c r="J10"/>
  <c r="J11"/>
  <c r="J12"/>
  <c r="J13"/>
  <c r="J14"/>
  <c r="J15"/>
  <c r="J16"/>
  <c r="J17"/>
  <c r="J18"/>
  <c r="J19"/>
  <c r="J20"/>
  <c r="J21"/>
  <c r="J22"/>
  <c r="J23"/>
  <c r="J24"/>
  <c r="J25"/>
  <c r="E10"/>
  <c r="G10"/>
  <c r="E12"/>
  <c r="G12"/>
  <c r="E14"/>
  <c r="G14"/>
  <c r="E16"/>
  <c r="G16"/>
  <c r="E18"/>
  <c r="G18"/>
  <c r="E20"/>
  <c r="G20"/>
  <c r="E22"/>
  <c r="G22"/>
  <c r="E24"/>
  <c r="E27"/>
  <c r="E29"/>
  <c r="E31"/>
  <c r="E35"/>
  <c r="G37"/>
  <c r="J28"/>
  <c r="J30"/>
  <c r="J32"/>
  <c r="J34"/>
  <c r="J36"/>
  <c r="J38"/>
  <c r="E5"/>
  <c r="J5"/>
  <c r="E7"/>
  <c r="G7"/>
  <c r="E9"/>
  <c r="G9"/>
  <c r="E11"/>
  <c r="G11"/>
  <c r="E13"/>
  <c r="G13"/>
  <c r="E15"/>
  <c r="G15"/>
  <c r="E17"/>
  <c r="G17"/>
  <c r="E19"/>
  <c r="G19"/>
  <c r="E21"/>
  <c r="G21"/>
  <c r="E23"/>
  <c r="G23"/>
  <c r="E25"/>
  <c r="G25"/>
  <c r="D26"/>
  <c r="D40" i="34"/>
  <c r="J8" i="33"/>
  <c r="E26"/>
  <c r="J26"/>
  <c r="I40" i="34"/>
  <c r="H40"/>
  <c r="E6" i="32"/>
  <c r="G8"/>
  <c r="J29"/>
  <c r="J31"/>
  <c r="J35"/>
  <c r="J39"/>
  <c r="G28"/>
  <c r="E30"/>
  <c r="G32"/>
  <c r="G34"/>
  <c r="E36"/>
  <c r="G38"/>
  <c r="G24"/>
  <c r="G29"/>
  <c r="E33"/>
  <c r="G35"/>
  <c r="H18" i="7"/>
  <c r="H7"/>
  <c r="D39"/>
  <c r="BM41" i="14"/>
  <c r="AL41" i="12"/>
  <c r="K41" i="18" s="1"/>
  <c r="BM17" i="4"/>
  <c r="BM25"/>
  <c r="H41" i="23"/>
  <c r="F46" s="1"/>
  <c r="BG41" i="4"/>
  <c r="T41" i="16" s="1"/>
  <c r="D49" s="1"/>
  <c r="BL9" i="4"/>
  <c r="BL27"/>
  <c r="BM40"/>
  <c r="BM31"/>
  <c r="BM35"/>
  <c r="BM39"/>
  <c r="BM9" i="12"/>
  <c r="BK41"/>
  <c r="BK9" i="4"/>
  <c r="BJ9"/>
  <c r="Z9" i="16" s="1"/>
  <c r="BK27" i="4"/>
  <c r="BJ27"/>
  <c r="Z27" i="16" s="1"/>
  <c r="BM6" i="4"/>
  <c r="BH41"/>
  <c r="AX41" l="1"/>
  <c r="Q41" i="16" s="1"/>
  <c r="O41"/>
  <c r="E40" i="35"/>
  <c r="BL41" i="4"/>
  <c r="G40" i="35"/>
  <c r="BM9" i="4"/>
  <c r="AL41"/>
  <c r="K41" i="16" s="1"/>
  <c r="E26" i="32"/>
  <c r="BM27" i="4"/>
  <c r="W41" i="16"/>
  <c r="X41"/>
  <c r="J40" i="35"/>
  <c r="I40" i="32"/>
  <c r="J26"/>
  <c r="H40"/>
  <c r="J40" i="34"/>
  <c r="G40"/>
  <c r="D40" i="32"/>
  <c r="J8"/>
  <c r="E40"/>
  <c r="E40" i="34"/>
  <c r="G26" i="32"/>
  <c r="BK41" i="4"/>
  <c r="BJ41"/>
  <c r="Z41" i="16" s="1"/>
  <c r="G40" i="32" l="1"/>
  <c r="BM41" i="4"/>
  <c r="J40" i="32"/>
  <c r="AM41" i="6"/>
  <c r="I18" i="7" l="1"/>
  <c r="AJ41" i="6" l="1"/>
  <c r="D49" s="1"/>
  <c r="AL37"/>
  <c r="G35" i="7" l="1"/>
  <c r="G39" s="1"/>
  <c r="D50" i="6"/>
  <c r="AE37"/>
  <c r="AI37"/>
  <c r="AK37"/>
  <c r="H35" i="7" l="1"/>
  <c r="H39" s="1"/>
  <c r="AK41" i="6"/>
  <c r="AI41"/>
  <c r="AG41"/>
  <c r="AE41"/>
  <c r="Q17" i="12"/>
  <c r="O41"/>
  <c r="AQ41" i="6"/>
  <c r="AN41"/>
  <c r="AT41" l="1"/>
  <c r="Q41" i="12"/>
  <c r="AP41" i="6"/>
  <c r="AR41"/>
  <c r="I39" i="7"/>
  <c r="AX17" i="12" l="1"/>
  <c r="E17" i="18"/>
  <c r="W41" i="12"/>
  <c r="E41" i="18" s="1"/>
  <c r="Q17" l="1"/>
  <c r="AX41" i="12"/>
  <c r="Q41" i="18" s="1"/>
  <c r="P17"/>
  <c r="G16" i="33" s="1"/>
  <c r="G16" i="36"/>
  <c r="AW41" i="12"/>
  <c r="J17" i="18"/>
  <c r="E16" i="33" s="1"/>
  <c r="E16" i="36"/>
  <c r="AK41" i="12"/>
  <c r="J41" i="18" l="1"/>
  <c r="E40" i="33" s="1"/>
  <c r="E40" i="36"/>
  <c r="P41" i="18"/>
  <c r="G40" i="33" s="1"/>
  <c r="G40" i="36"/>
  <c r="AZ41" i="12"/>
  <c r="BA8"/>
  <c r="BA41" s="1"/>
  <c r="BF8"/>
  <c r="BF41" s="1"/>
  <c r="H7" i="36" l="1"/>
  <c r="V8" i="18"/>
  <c r="I7" i="33" s="1"/>
  <c r="BG8" i="12"/>
  <c r="BG41" s="1"/>
  <c r="W41" i="18" s="1"/>
  <c r="BI8" i="12"/>
  <c r="J7" i="36" s="1"/>
  <c r="I40"/>
  <c r="H40"/>
  <c r="V41" i="18"/>
  <c r="I40" i="33" s="1"/>
  <c r="S41" i="18"/>
  <c r="H40" i="33" s="1"/>
  <c r="S8" i="18"/>
  <c r="H7" i="33" s="1"/>
  <c r="I7" i="36"/>
  <c r="BI41" i="12" l="1"/>
  <c r="Y41" i="18" s="1"/>
  <c r="J40" i="33" s="1"/>
  <c r="BJ8" i="12"/>
  <c r="Z8" i="18" s="1"/>
  <c r="Y8"/>
  <c r="J7" i="33" s="1"/>
  <c r="BL8" i="12"/>
  <c r="BL41" s="1"/>
  <c r="T41" i="18"/>
  <c r="W8"/>
  <c r="T8"/>
  <c r="J40" i="36" l="1"/>
  <c r="BM8" i="12"/>
  <c r="BM41" s="1"/>
  <c r="BJ41"/>
  <c r="Z41" i="18" s="1"/>
</calcChain>
</file>

<file path=xl/sharedStrings.xml><?xml version="1.0" encoding="utf-8"?>
<sst xmlns="http://schemas.openxmlformats.org/spreadsheetml/2006/main" count="2366" uniqueCount="214">
  <si>
    <t>Pre-Primary</t>
  </si>
  <si>
    <t xml:space="preserve">Class I  </t>
  </si>
  <si>
    <t>Class II</t>
  </si>
  <si>
    <t>Class III</t>
  </si>
  <si>
    <t>Class IV</t>
  </si>
  <si>
    <t>Class V</t>
  </si>
  <si>
    <t>Class VI</t>
  </si>
  <si>
    <t>Class VII</t>
  </si>
  <si>
    <t>Class VIII</t>
  </si>
  <si>
    <t>Class IX</t>
  </si>
  <si>
    <t>Class X</t>
  </si>
  <si>
    <t>Class XI</t>
  </si>
  <si>
    <t>Class XII</t>
  </si>
  <si>
    <t>Boys</t>
  </si>
  <si>
    <t>Girls</t>
  </si>
  <si>
    <t>Total</t>
  </si>
  <si>
    <t>Andhra Pradesh</t>
  </si>
  <si>
    <t>Arunachal Pradesh</t>
  </si>
  <si>
    <t>Bihar</t>
  </si>
  <si>
    <t>Chhattisgarh</t>
  </si>
  <si>
    <t>Goa</t>
  </si>
  <si>
    <t>Gujarat</t>
  </si>
  <si>
    <t>Haryana</t>
  </si>
  <si>
    <t xml:space="preserve">Himachal Pradesh </t>
  </si>
  <si>
    <t xml:space="preserve">Jammu &amp; Kashmir </t>
  </si>
  <si>
    <t>Karnataka</t>
  </si>
  <si>
    <t xml:space="preserve">Kerala </t>
  </si>
  <si>
    <t>Madhya Pradesh</t>
  </si>
  <si>
    <t>Maharashtra</t>
  </si>
  <si>
    <t>Manipur</t>
  </si>
  <si>
    <t>Meghalaya</t>
  </si>
  <si>
    <t>Mizoram</t>
  </si>
  <si>
    <t>Rajasthan</t>
  </si>
  <si>
    <t>Sikkim</t>
  </si>
  <si>
    <t>Tamil Nadu</t>
  </si>
  <si>
    <t>Tripura</t>
  </si>
  <si>
    <t>Uttar Pradesh</t>
  </si>
  <si>
    <t>Uttarakhand</t>
  </si>
  <si>
    <t xml:space="preserve">West Bengal </t>
  </si>
  <si>
    <t>A&amp;N Islands</t>
  </si>
  <si>
    <t>Chandigarh</t>
  </si>
  <si>
    <t>D&amp;N Haveli</t>
  </si>
  <si>
    <t>Daman &amp; Diu</t>
  </si>
  <si>
    <t>Delhi</t>
  </si>
  <si>
    <t xml:space="preserve">Lakshadweep </t>
  </si>
  <si>
    <t>Puducherry</t>
  </si>
  <si>
    <t>INDIA</t>
  </si>
  <si>
    <t>High/Secondary Schools</t>
  </si>
  <si>
    <t>Assam</t>
  </si>
  <si>
    <t xml:space="preserve">Bihar </t>
  </si>
  <si>
    <t>Himachal Pradesh</t>
  </si>
  <si>
    <t>Jammu &amp; Kashmir</t>
  </si>
  <si>
    <t>Jharkhand</t>
  </si>
  <si>
    <t>Kerala</t>
  </si>
  <si>
    <t>Nagaland</t>
  </si>
  <si>
    <t>Odisha</t>
  </si>
  <si>
    <t>Punjab</t>
  </si>
  <si>
    <t>West Bengal</t>
  </si>
  <si>
    <t>Lakshadweep</t>
  </si>
  <si>
    <t>Primary Schools</t>
  </si>
  <si>
    <t>Local Bodies</t>
  </si>
  <si>
    <t>Private Aided</t>
  </si>
  <si>
    <t>Private Unaided</t>
  </si>
  <si>
    <t>Number</t>
  </si>
  <si>
    <t>%age</t>
  </si>
  <si>
    <t>States/
Union Territories</t>
  </si>
  <si>
    <t>Government</t>
  </si>
  <si>
    <t>Sl. No.</t>
  </si>
  <si>
    <t xml:space="preserve">Intermediate/Senior Secondary Schools </t>
  </si>
  <si>
    <t>Upper Primary Schools</t>
  </si>
  <si>
    <t>Pre-Primary Schools</t>
  </si>
  <si>
    <t xml:space="preserve">Intermediate/ Senior Secondary Schools </t>
  </si>
  <si>
    <t>High/ Secondary Schools</t>
  </si>
  <si>
    <t>Number of Senior Secondary/ Secondary Education Board</t>
  </si>
  <si>
    <r>
      <t>Punjab</t>
    </r>
    <r>
      <rPr>
        <vertAlign val="superscript"/>
        <sz val="12"/>
        <rFont val="Cambria"/>
        <family val="1"/>
        <scheme val="major"/>
      </rPr>
      <t xml:space="preserve"> </t>
    </r>
  </si>
  <si>
    <t>Secondary</t>
  </si>
  <si>
    <t xml:space="preserve">Vocational           </t>
  </si>
  <si>
    <t>Source: National Institute of Open School (NIOS)</t>
  </si>
  <si>
    <t>Senior Secondary</t>
  </si>
  <si>
    <t>Scheduled Caste</t>
  </si>
  <si>
    <t>Scheduled Tribe</t>
  </si>
  <si>
    <t>All Categories</t>
  </si>
  <si>
    <t>TOTAL
Class I - V</t>
  </si>
  <si>
    <t>TOTAL
Class VI - VIII</t>
  </si>
  <si>
    <t>TOTAL
Class I - VIII</t>
  </si>
  <si>
    <t>TOTAL
Class IX-X</t>
  </si>
  <si>
    <t>TOTAL
Class I-X</t>
  </si>
  <si>
    <t>TOTAL
Class XI- XII</t>
  </si>
  <si>
    <t>TOTAL
Class I- XII</t>
  </si>
  <si>
    <t>Classes I-V
(6-10 Years)</t>
  </si>
  <si>
    <t>Classes VI-VIII
(11-13 Years)</t>
  </si>
  <si>
    <t>Classes I-VIII
(6-13 Years)</t>
  </si>
  <si>
    <t>Classes IX-X
(14-15 Years)</t>
  </si>
  <si>
    <t>Classes I-X
(6-15 Years)</t>
  </si>
  <si>
    <t>Classes XI-XII
(16-17 Years)</t>
  </si>
  <si>
    <t>Classes IX-XII
(14-17 Years)</t>
  </si>
  <si>
    <t>Classes I-XII
(6-17 Years)</t>
  </si>
  <si>
    <t>Classes I-V</t>
  </si>
  <si>
    <t>Classes I-VIII</t>
  </si>
  <si>
    <t>Classes I-X</t>
  </si>
  <si>
    <t>BOYS</t>
  </si>
  <si>
    <t xml:space="preserve">GIRLS </t>
  </si>
  <si>
    <t>TOTAL</t>
  </si>
  <si>
    <t xml:space="preserve">INDIA  </t>
  </si>
  <si>
    <r>
      <t>Punjab</t>
    </r>
    <r>
      <rPr>
        <vertAlign val="superscript"/>
        <sz val="11"/>
        <rFont val="Cambria"/>
        <family val="1"/>
        <scheme val="major"/>
      </rPr>
      <t xml:space="preserve"> </t>
    </r>
  </si>
  <si>
    <t>Table C1:</t>
  </si>
  <si>
    <t>Men</t>
  </si>
  <si>
    <t>Women</t>
  </si>
  <si>
    <t>PUPIL TEACHER RATIO (PTR)</t>
  </si>
  <si>
    <t>Table C4:</t>
  </si>
  <si>
    <t>NUMBER OF FEMALE TEACHERS PER HUNDRED MALE TEACHERS</t>
  </si>
  <si>
    <t>Table C3:</t>
  </si>
  <si>
    <t>Classes
VI-VIII</t>
  </si>
  <si>
    <t>Classes
IX-X</t>
  </si>
  <si>
    <t>Classes
I-X</t>
  </si>
  <si>
    <t>Classes
XI-XII</t>
  </si>
  <si>
    <t>Classes
IX-XII</t>
  </si>
  <si>
    <t>Classes
I-XII</t>
  </si>
  <si>
    <t>Classes
I-V</t>
  </si>
  <si>
    <t>Classes
I-VIII</t>
  </si>
  <si>
    <t>Appendix-1</t>
  </si>
  <si>
    <t>Appendix-2</t>
  </si>
  <si>
    <t>6-10 Years</t>
  </si>
  <si>
    <t>11-13 Years</t>
  </si>
  <si>
    <t>14-15 Years</t>
  </si>
  <si>
    <t>16-17 Years</t>
  </si>
  <si>
    <t xml:space="preserve">Male </t>
  </si>
  <si>
    <t xml:space="preserve">Female </t>
  </si>
  <si>
    <t xml:space="preserve">Grand Total 
Pre-Primary to XII
 Pre-Primary to Class XII </t>
  </si>
  <si>
    <t>Table B1: ENROLMENT IN SCHOOL EDUCATION</t>
  </si>
  <si>
    <t>Table A1: NUMBER OF SCHOOL EDUCATION INSTITUTIONS</t>
  </si>
  <si>
    <t>Table A2: NUMBER OF INSTITUTIONS BY MANAGEMENT</t>
  </si>
  <si>
    <t>Table B2: ENROLMENT IN SCHOOL EDUCATION</t>
  </si>
  <si>
    <t>Table B3: ENROLMENT IN SCHOOL EDUCATION</t>
  </si>
  <si>
    <t>Table B4: ENROLMENT IN OPEN SCHOOL EDUCATION</t>
  </si>
  <si>
    <t>Table C2: PERCENTAGE OF TRAINED TEACHERS</t>
  </si>
  <si>
    <t>Table C4: PUPIL TEACHER RATIO (PTR)</t>
  </si>
  <si>
    <t>Table D1: GROSS ENROLMENT RATIO (GER)</t>
  </si>
  <si>
    <t>Table D2: GROSS ENROLMENT RATIO (GER)</t>
  </si>
  <si>
    <t>Table D3: GROSS ENROLMENT RATIO (GER)</t>
  </si>
  <si>
    <t>Table E1: GENDER PARITY INDEX (GPI)</t>
  </si>
  <si>
    <t>Table E2: GENDER PARITY INDEX (GPI)</t>
  </si>
  <si>
    <t>Table E3: GENDER PARITY INDEX (GPI)</t>
  </si>
  <si>
    <t>Table F1: NUMBER OF GIRLS PER HUNDRED BOYS</t>
  </si>
  <si>
    <t>Table F3: NUMBER OF GIRLS PER HUNDRED BOYS</t>
  </si>
  <si>
    <t>Table F2: NUMBER OF GIRLS PER HUNDRED BOYS</t>
  </si>
  <si>
    <t>Table G1: DROP OUT RATES</t>
  </si>
  <si>
    <t>Table G2: DROP OUT RATES</t>
  </si>
  <si>
    <t>Table G3: DROP OUT RATES</t>
  </si>
  <si>
    <t>Table I: BACK SERIES OF ENROLMENT IN CLASS I</t>
  </si>
  <si>
    <t>Table J: ENROLMENT IN VARIOUS TYPES OF SCHOOLS</t>
  </si>
  <si>
    <t>NUMBER OF TEACHERS IN VARIOUS TYPES OF SCHOOLS</t>
  </si>
  <si>
    <t>2002-2003</t>
  </si>
  <si>
    <t xml:space="preserve">Grand Total Enrolment from classes
 Pre-Primary to classXII </t>
  </si>
  <si>
    <t>TOTAL I- XII</t>
  </si>
  <si>
    <t>TOTAL XI- XII</t>
  </si>
  <si>
    <t>TOTAL I-X</t>
  </si>
  <si>
    <t>TOTAL IX-X</t>
  </si>
  <si>
    <t>TOTAL  I - VIII</t>
  </si>
  <si>
    <t>TOTAL - VI - VIII</t>
  </si>
  <si>
    <t>TOTAL - I - V</t>
  </si>
  <si>
    <t>States/UTs</t>
  </si>
  <si>
    <t>S.No.</t>
  </si>
  <si>
    <t>D- All Categories of Students</t>
  </si>
  <si>
    <r>
      <t>TABLE- 3 :- ENROLMENT IN RURAL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AREA SCHOOLS</t>
    </r>
  </si>
  <si>
    <r>
      <t>TABLE- 3 :- ENROLMENT IN RURAL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AREA SCHOOLS </t>
    </r>
    <r>
      <rPr>
        <b/>
        <sz val="12"/>
        <rFont val="Arial"/>
        <family val="2"/>
      </rPr>
      <t xml:space="preserve"> </t>
    </r>
  </si>
  <si>
    <r>
      <t>TABLE- 3 :- ENROLMENT IN RURAL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AREA SCHOOLS </t>
    </r>
    <r>
      <rPr>
        <b/>
        <vertAlign val="superscript"/>
        <sz val="12"/>
        <rFont val="Arial"/>
        <family val="2"/>
      </rPr>
      <t/>
    </r>
  </si>
  <si>
    <r>
      <t>TABLE- 3 :- ENROLMENT IN RURAL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AREA SCHOOLS</t>
    </r>
    <r>
      <rPr>
        <b/>
        <sz val="12"/>
        <rFont val="Arial"/>
        <family val="2"/>
      </rPr>
      <t xml:space="preserve"> </t>
    </r>
  </si>
  <si>
    <t>-</t>
  </si>
  <si>
    <t>Class I-XII</t>
  </si>
  <si>
    <t>Class XI-XII</t>
  </si>
  <si>
    <t>Class I-X</t>
  </si>
  <si>
    <t>Class IX-X</t>
  </si>
  <si>
    <t>Class I-VIII</t>
  </si>
  <si>
    <t>Classes VI-VIII</t>
  </si>
  <si>
    <t>C- Rural Enrolment</t>
  </si>
  <si>
    <t>B- ST Enrolment</t>
  </si>
  <si>
    <t>A- SC Enrolment</t>
  </si>
  <si>
    <r>
      <t>TABLE- 4 :- PERCENTAGE OF RURAL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AREA ENROLMENT TO TOTAL ENROLMENT IN SCHOOLS </t>
    </r>
    <r>
      <rPr>
        <b/>
        <sz val="12"/>
        <rFont val="Arial"/>
        <family val="2"/>
      </rPr>
      <t xml:space="preserve"> </t>
    </r>
  </si>
  <si>
    <r>
      <t>TABLE- 4 :- PERCENTAGE OF ST</t>
    </r>
    <r>
      <rPr>
        <b/>
        <sz val="12"/>
        <rFont val="Arial"/>
        <family val="2"/>
      </rPr>
      <t xml:space="preserve"> ENROLMENT TO TOTAL ENROLMENT IN SCHOOLS </t>
    </r>
    <r>
      <rPr>
        <b/>
        <sz val="12"/>
        <rFont val="Arial"/>
        <family val="2"/>
      </rPr>
      <t xml:space="preserve"> </t>
    </r>
  </si>
  <si>
    <t xml:space="preserve">TABLE- 4 :- PERCENTAGE OF SC ENROLMENT TO TOTAL ENROLMENT IN SCHOOLS  </t>
  </si>
  <si>
    <t xml:space="preserve">Tamil Nadu </t>
  </si>
  <si>
    <t>J&amp;K</t>
  </si>
  <si>
    <t>In Classes I-XII</t>
  </si>
  <si>
    <t xml:space="preserve">In classes XI-XII </t>
  </si>
  <si>
    <t xml:space="preserve">In classes IX-X </t>
  </si>
  <si>
    <t>In classes VI-VIII</t>
  </si>
  <si>
    <t xml:space="preserve">In classes I-V </t>
  </si>
  <si>
    <t>Sl.
No.</t>
  </si>
  <si>
    <t>F: TOTALS (A+B+C+D+E)</t>
  </si>
  <si>
    <t>E: OTHERS</t>
  </si>
  <si>
    <t>D: Mentally Challenged</t>
  </si>
  <si>
    <t>C: Orthopaedically Impaired</t>
  </si>
  <si>
    <t>B: Hearing Impaired</t>
  </si>
  <si>
    <t>A: Visually Impaired</t>
  </si>
  <si>
    <r>
      <t xml:space="preserve">          TABLE -5  : ENROLMENT OF CHILDREN WITH SPECIAL NEEDS (CWSN)  STUDENTS </t>
    </r>
    <r>
      <rPr>
        <b/>
        <vertAlign val="superscript"/>
        <sz val="12"/>
        <rFont val="Arial"/>
        <family val="2"/>
      </rPr>
      <t>7</t>
    </r>
  </si>
  <si>
    <t xml:space="preserve">          TABLE -5  : ENROLMENT OF CHILDREN WITH SPECIAL NEEDS (CWSN)  STUDENTS </t>
  </si>
  <si>
    <t xml:space="preserve">     </t>
  </si>
  <si>
    <t>Tirpura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</si>
  <si>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</si>
  <si>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</si>
  <si>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>2007-2008</t>
  </si>
  <si>
    <t>2004-2005</t>
  </si>
  <si>
    <t>Table H1: Actual Population 2011</t>
  </si>
  <si>
    <t>Table H2: Actual Population 2011</t>
  </si>
  <si>
    <t>Table H3: Actual Population 2011</t>
  </si>
  <si>
    <t>SC</t>
  </si>
  <si>
    <t>Level</t>
  </si>
  <si>
    <t>ST</t>
  </si>
  <si>
    <t>All</t>
  </si>
  <si>
    <t>I-V</t>
  </si>
  <si>
    <t>VI-VIII</t>
  </si>
  <si>
    <t>IX-X</t>
  </si>
  <si>
    <t>XI-XII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</si>
</sst>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_-* #,##0.00_-;\-* #,##0.00_-;_-* &quot;-&quot;??_-;_-@_-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0"/>
      <name val="Cambria"/>
      <family val="1"/>
      <scheme val="major"/>
    </font>
    <font>
      <b/>
      <i/>
      <sz val="9"/>
      <name val="Cambria"/>
      <family val="1"/>
      <scheme val="major"/>
    </font>
    <font>
      <i/>
      <sz val="9"/>
      <name val="Cambria"/>
      <family val="1"/>
      <scheme val="major"/>
    </font>
    <font>
      <b/>
      <sz val="11"/>
      <color indexed="8"/>
      <name val="Cambria"/>
      <family val="1"/>
      <scheme val="major"/>
    </font>
    <font>
      <vertAlign val="superscript"/>
      <sz val="12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indexed="8"/>
      <name val="Cambria"/>
      <family val="1"/>
      <scheme val="major"/>
    </font>
    <font>
      <b/>
      <sz val="12"/>
      <name val="Arial"/>
      <family val="2"/>
    </font>
    <font>
      <sz val="10"/>
      <name val="Arial"/>
      <family val="2"/>
    </font>
    <font>
      <vertAlign val="superscript"/>
      <sz val="11"/>
      <name val="Cambria"/>
      <family val="1"/>
      <scheme val="major"/>
    </font>
    <font>
      <sz val="10"/>
      <name val="Arial"/>
      <family val="2"/>
    </font>
    <font>
      <sz val="12"/>
      <color rgb="FFFF0000"/>
      <name val="Cambria"/>
      <family val="1"/>
      <scheme val="maj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B050"/>
      <name val="Arial"/>
      <family val="2"/>
    </font>
    <font>
      <sz val="12"/>
      <color indexed="17"/>
      <name val="Arial"/>
      <family val="2"/>
    </font>
    <font>
      <b/>
      <sz val="11"/>
      <name val="Arial"/>
      <family val="2"/>
    </font>
    <font>
      <b/>
      <sz val="11"/>
      <name val="Albertus (W1)"/>
    </font>
    <font>
      <b/>
      <vertAlign val="superscript"/>
      <sz val="12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sz val="12"/>
      <color indexed="57"/>
      <name val="Arial"/>
      <family val="2"/>
    </font>
    <font>
      <sz val="12"/>
      <color theme="1"/>
      <name val="Book Antiqua"/>
      <family val="1"/>
    </font>
    <font>
      <b/>
      <sz val="11"/>
      <name val="Albertus (W1)"/>
      <family val="2"/>
    </font>
    <font>
      <b/>
      <i/>
      <sz val="12"/>
      <name val="Arial"/>
      <family val="2"/>
    </font>
    <font>
      <i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9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9" fillId="0" borderId="0"/>
    <xf numFmtId="0" fontId="21" fillId="0" borderId="0"/>
    <xf numFmtId="0" fontId="1" fillId="0" borderId="0"/>
    <xf numFmtId="0" fontId="23" fillId="0" borderId="0"/>
  </cellStyleXfs>
  <cellXfs count="329">
    <xf numFmtId="0" fontId="0" fillId="0" borderId="0" xfId="0"/>
    <xf numFmtId="0" fontId="8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3" fillId="4" borderId="0" xfId="1" applyFont="1" applyFill="1" applyBorder="1" applyAlignment="1">
      <alignment vertical="center"/>
    </xf>
    <xf numFmtId="0" fontId="4" fillId="4" borderId="0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4" fillId="0" borderId="2" xfId="1" applyFon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/>
    </xf>
    <xf numFmtId="0" fontId="10" fillId="4" borderId="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5" fillId="0" borderId="0" xfId="1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vertical="center"/>
    </xf>
    <xf numFmtId="0" fontId="17" fillId="4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2" fontId="4" fillId="2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3" fillId="0" borderId="0" xfId="1" applyFont="1"/>
    <xf numFmtId="0" fontId="10" fillId="0" borderId="0" xfId="1" applyFont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6" fillId="0" borderId="2" xfId="1" applyFont="1" applyBorder="1" applyAlignment="1">
      <alignment horizontal="right" wrapText="1"/>
    </xf>
    <xf numFmtId="3" fontId="6" fillId="0" borderId="2" xfId="1" applyNumberFormat="1" applyFont="1" applyBorder="1" applyAlignment="1">
      <alignment horizontal="right"/>
    </xf>
    <xf numFmtId="3" fontId="6" fillId="0" borderId="7" xfId="1" applyNumberFormat="1" applyFont="1" applyFill="1" applyBorder="1" applyAlignment="1">
      <alignment horizontal="right"/>
    </xf>
    <xf numFmtId="0" fontId="6" fillId="2" borderId="2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right" vertical="top"/>
    </xf>
    <xf numFmtId="1" fontId="4" fillId="0" borderId="2" xfId="1" applyNumberFormat="1" applyFont="1" applyBorder="1" applyAlignment="1">
      <alignment horizontal="right" vertical="center"/>
    </xf>
    <xf numFmtId="0" fontId="3" fillId="4" borderId="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3" fillId="4" borderId="3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right"/>
    </xf>
    <xf numFmtId="0" fontId="6" fillId="0" borderId="6" xfId="1" applyFont="1" applyFill="1" applyBorder="1" applyAlignment="1">
      <alignment horizontal="right"/>
    </xf>
    <xf numFmtId="3" fontId="6" fillId="0" borderId="2" xfId="1" quotePrefix="1" applyNumberFormat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0" fontId="5" fillId="4" borderId="0" xfId="1" applyFont="1" applyFill="1" applyBorder="1" applyAlignment="1">
      <alignment vertical="center"/>
    </xf>
    <xf numFmtId="0" fontId="18" fillId="0" borderId="0" xfId="1" applyFont="1"/>
    <xf numFmtId="0" fontId="7" fillId="6" borderId="2" xfId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0" xfId="1" applyFont="1" applyFill="1" applyBorder="1" applyAlignment="1">
      <alignment vertical="center"/>
    </xf>
    <xf numFmtId="1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 indent="4"/>
    </xf>
    <xf numFmtId="1" fontId="4" fillId="0" borderId="2" xfId="1" applyNumberFormat="1" applyFont="1" applyBorder="1" applyAlignment="1">
      <alignment horizontal="right" vertical="center" indent="4"/>
    </xf>
    <xf numFmtId="0" fontId="3" fillId="4" borderId="2" xfId="1" applyFont="1" applyFill="1" applyBorder="1" applyAlignment="1">
      <alignment horizontal="right" vertical="center" indent="4"/>
    </xf>
    <xf numFmtId="1" fontId="3" fillId="4" borderId="2" xfId="1" applyNumberFormat="1" applyFont="1" applyFill="1" applyBorder="1" applyAlignment="1">
      <alignment horizontal="right" vertical="center" indent="4"/>
    </xf>
    <xf numFmtId="1" fontId="4" fillId="7" borderId="2" xfId="1" applyNumberFormat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vertical="center"/>
    </xf>
    <xf numFmtId="0" fontId="5" fillId="7" borderId="0" xfId="1" applyFont="1" applyFill="1" applyBorder="1" applyAlignment="1">
      <alignment vertical="center"/>
    </xf>
    <xf numFmtId="0" fontId="5" fillId="7" borderId="2" xfId="1" applyFont="1" applyFill="1" applyBorder="1" applyAlignment="1">
      <alignment horizontal="right"/>
    </xf>
    <xf numFmtId="0" fontId="4" fillId="7" borderId="0" xfId="1" applyFont="1" applyFill="1"/>
    <xf numFmtId="164" fontId="4" fillId="7" borderId="2" xfId="1" applyNumberFormat="1" applyFont="1" applyFill="1" applyBorder="1" applyAlignment="1">
      <alignment horizontal="center" vertical="center"/>
    </xf>
    <xf numFmtId="0" fontId="12" fillId="7" borderId="0" xfId="1" applyFont="1" applyFill="1" applyBorder="1" applyAlignment="1">
      <alignment vertical="center"/>
    </xf>
    <xf numFmtId="0" fontId="3" fillId="7" borderId="2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right" vertical="center" indent="1"/>
    </xf>
    <xf numFmtId="0" fontId="3" fillId="7" borderId="2" xfId="1" applyFont="1" applyFill="1" applyBorder="1" applyAlignment="1">
      <alignment vertical="center"/>
    </xf>
    <xf numFmtId="0" fontId="3" fillId="7" borderId="0" xfId="1" applyFont="1" applyFill="1" applyBorder="1" applyAlignment="1">
      <alignment vertical="center"/>
    </xf>
    <xf numFmtId="164" fontId="3" fillId="7" borderId="2" xfId="1" applyNumberFormat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right" vertical="center"/>
    </xf>
    <xf numFmtId="1" fontId="5" fillId="7" borderId="2" xfId="1" applyNumberFormat="1" applyFont="1" applyFill="1" applyBorder="1" applyAlignment="1">
      <alignment horizontal="right" vertical="center"/>
    </xf>
    <xf numFmtId="1" fontId="4" fillId="2" borderId="2" xfId="1" applyNumberFormat="1" applyFont="1" applyFill="1" applyBorder="1" applyAlignment="1">
      <alignment horizontal="center" vertical="center"/>
    </xf>
    <xf numFmtId="2" fontId="3" fillId="7" borderId="2" xfId="1" applyNumberFormat="1" applyFont="1" applyFill="1" applyBorder="1" applyAlignment="1">
      <alignment horizontal="center" vertical="center"/>
    </xf>
    <xf numFmtId="1" fontId="3" fillId="7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4" fillId="0" borderId="0" xfId="8" applyFont="1" applyAlignment="1">
      <alignment vertical="center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vertical="center"/>
    </xf>
    <xf numFmtId="0" fontId="3" fillId="0" borderId="1" xfId="8" applyFont="1" applyBorder="1" applyAlignment="1">
      <alignment vertical="center"/>
    </xf>
    <xf numFmtId="0" fontId="3" fillId="4" borderId="0" xfId="8" applyFont="1" applyFill="1" applyAlignment="1">
      <alignment vertical="center"/>
    </xf>
    <xf numFmtId="0" fontId="4" fillId="4" borderId="0" xfId="8" applyFont="1" applyFill="1" applyAlignment="1">
      <alignment vertical="center"/>
    </xf>
    <xf numFmtId="0" fontId="3" fillId="4" borderId="2" xfId="8" applyFont="1" applyFill="1" applyBorder="1" applyAlignment="1">
      <alignment horizontal="center" vertical="center"/>
    </xf>
    <xf numFmtId="0" fontId="9" fillId="4" borderId="2" xfId="8" applyFont="1" applyFill="1" applyBorder="1" applyAlignment="1">
      <alignment horizontal="center" vertical="center"/>
    </xf>
    <xf numFmtId="0" fontId="9" fillId="4" borderId="0" xfId="8" applyFont="1" applyFill="1" applyAlignment="1">
      <alignment vertical="center"/>
    </xf>
    <xf numFmtId="0" fontId="4" fillId="0" borderId="2" xfId="8" applyFont="1" applyBorder="1" applyAlignment="1">
      <alignment horizontal="center" vertical="center"/>
    </xf>
    <xf numFmtId="0" fontId="4" fillId="2" borderId="2" xfId="8" applyFont="1" applyFill="1" applyBorder="1" applyAlignment="1">
      <alignment horizontal="left" vertical="center"/>
    </xf>
    <xf numFmtId="1" fontId="4" fillId="0" borderId="2" xfId="8" applyNumberFormat="1" applyFont="1" applyBorder="1" applyAlignment="1">
      <alignment horizontal="right" vertical="center"/>
    </xf>
    <xf numFmtId="1" fontId="4" fillId="2" borderId="2" xfId="8" applyNumberFormat="1" applyFont="1" applyFill="1" applyBorder="1" applyAlignment="1">
      <alignment vertical="center"/>
    </xf>
    <xf numFmtId="1" fontId="4" fillId="0" borderId="2" xfId="8" applyNumberFormat="1" applyFont="1" applyBorder="1" applyAlignment="1">
      <alignment vertical="center"/>
    </xf>
    <xf numFmtId="0" fontId="4" fillId="2" borderId="2" xfId="8" applyFont="1" applyFill="1" applyBorder="1" applyAlignment="1">
      <alignment horizontal="left" vertical="center" wrapText="1"/>
    </xf>
    <xf numFmtId="1" fontId="3" fillId="4" borderId="2" xfId="8" applyNumberFormat="1" applyFont="1" applyFill="1" applyBorder="1" applyAlignment="1">
      <alignment horizontal="right" vertical="center"/>
    </xf>
    <xf numFmtId="1" fontId="4" fillId="0" borderId="0" xfId="8" applyNumberFormat="1" applyFont="1" applyAlignment="1">
      <alignment vertical="center"/>
    </xf>
    <xf numFmtId="1" fontId="3" fillId="0" borderId="0" xfId="8" applyNumberFormat="1" applyFont="1" applyAlignment="1">
      <alignment vertical="center"/>
    </xf>
    <xf numFmtId="0" fontId="3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8" fillId="0" borderId="0" xfId="9" applyFont="1" applyBorder="1" applyAlignment="1">
      <alignment horizontal="center" vertical="center"/>
    </xf>
    <xf numFmtId="0" fontId="8" fillId="2" borderId="0" xfId="9" applyFont="1" applyFill="1" applyBorder="1" applyAlignment="1">
      <alignment vertical="center"/>
    </xf>
    <xf numFmtId="0" fontId="8" fillId="0" borderId="0" xfId="9" applyFont="1" applyBorder="1" applyAlignment="1">
      <alignment vertical="center"/>
    </xf>
    <xf numFmtId="0" fontId="8" fillId="0" borderId="0" xfId="9" applyFont="1" applyAlignment="1">
      <alignment horizontal="center" vertical="center"/>
    </xf>
    <xf numFmtId="0" fontId="4" fillId="0" borderId="0" xfId="9" applyFont="1" applyAlignment="1">
      <alignment vertical="center"/>
    </xf>
    <xf numFmtId="0" fontId="3" fillId="4" borderId="2" xfId="9" applyFont="1" applyFill="1" applyBorder="1" applyAlignment="1">
      <alignment horizontal="center" vertical="center"/>
    </xf>
    <xf numFmtId="0" fontId="14" fillId="4" borderId="2" xfId="9" applyFont="1" applyFill="1" applyBorder="1" applyAlignment="1">
      <alignment horizontal="center" vertical="center"/>
    </xf>
    <xf numFmtId="0" fontId="10" fillId="4" borderId="2" xfId="9" applyFont="1" applyFill="1" applyBorder="1" applyAlignment="1">
      <alignment horizontal="center" vertical="center" wrapText="1"/>
    </xf>
    <xf numFmtId="0" fontId="4" fillId="0" borderId="2" xfId="9" applyFont="1" applyBorder="1" applyAlignment="1">
      <alignment horizontal="center" vertical="center"/>
    </xf>
    <xf numFmtId="0" fontId="4" fillId="0" borderId="2" xfId="9" applyFont="1" applyBorder="1" applyAlignment="1">
      <alignment vertical="center"/>
    </xf>
    <xf numFmtId="0" fontId="7" fillId="0" borderId="2" xfId="9" applyFont="1" applyBorder="1" applyAlignment="1">
      <alignment horizontal="right" vertical="center"/>
    </xf>
    <xf numFmtId="0" fontId="4" fillId="0" borderId="2" xfId="9" applyFont="1" applyBorder="1" applyAlignment="1">
      <alignment vertical="center" wrapText="1"/>
    </xf>
    <xf numFmtId="0" fontId="3" fillId="4" borderId="2" xfId="9" applyFont="1" applyFill="1" applyBorder="1" applyAlignment="1">
      <alignment horizontal="right" vertical="center"/>
    </xf>
    <xf numFmtId="0" fontId="4" fillId="4" borderId="0" xfId="9" applyFont="1" applyFill="1" applyAlignment="1">
      <alignment vertical="center"/>
    </xf>
    <xf numFmtId="0" fontId="9" fillId="0" borderId="0" xfId="9" applyFont="1" applyAlignment="1">
      <alignment vertical="center"/>
    </xf>
    <xf numFmtId="0" fontId="11" fillId="4" borderId="0" xfId="1" applyFont="1" applyFill="1" applyBorder="1" applyAlignment="1">
      <alignment vertical="center"/>
    </xf>
    <xf numFmtId="0" fontId="16" fillId="4" borderId="2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0"/>
    </xf>
    <xf numFmtId="0" fontId="3" fillId="0" borderId="1" xfId="0" applyFont="1" applyBorder="1" applyAlignment="1">
      <alignment horizontal="left" vertical="center" indent="12"/>
    </xf>
    <xf numFmtId="0" fontId="3" fillId="0" borderId="1" xfId="0" applyFont="1" applyBorder="1" applyAlignment="1">
      <alignment horizontal="left" vertical="center" indent="15"/>
    </xf>
    <xf numFmtId="0" fontId="7" fillId="2" borderId="2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6"/>
    </xf>
    <xf numFmtId="0" fontId="8" fillId="2" borderId="0" xfId="1" applyFont="1" applyFill="1" applyBorder="1" applyAlignment="1">
      <alignment horizontal="left" vertical="center" indent="4"/>
    </xf>
    <xf numFmtId="0" fontId="3" fillId="0" borderId="1" xfId="8" applyFont="1" applyBorder="1" applyAlignment="1">
      <alignment horizontal="left" vertical="center" indent="11"/>
    </xf>
    <xf numFmtId="0" fontId="8" fillId="0" borderId="1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indent="14"/>
    </xf>
    <xf numFmtId="0" fontId="8" fillId="0" borderId="0" xfId="1" applyFont="1" applyBorder="1" applyAlignment="1">
      <alignment horizontal="left" vertical="center" indent="19"/>
    </xf>
    <xf numFmtId="1" fontId="5" fillId="7" borderId="2" xfId="1" applyNumberFormat="1" applyFont="1" applyFill="1" applyBorder="1" applyAlignment="1">
      <alignment horizontal="right"/>
    </xf>
    <xf numFmtId="0" fontId="3" fillId="4" borderId="2" xfId="1" applyFont="1" applyFill="1" applyBorder="1" applyAlignment="1">
      <alignment horizontal="center" vertical="center" wrapText="1"/>
    </xf>
    <xf numFmtId="0" fontId="23" fillId="0" borderId="0" xfId="10"/>
    <xf numFmtId="0" fontId="23" fillId="3" borderId="0" xfId="10" applyFill="1"/>
    <xf numFmtId="1" fontId="23" fillId="0" borderId="0" xfId="10" applyNumberFormat="1"/>
    <xf numFmtId="0" fontId="1" fillId="0" borderId="0" xfId="10" applyFont="1"/>
    <xf numFmtId="1" fontId="1" fillId="0" borderId="0" xfId="10" applyNumberFormat="1" applyFont="1"/>
    <xf numFmtId="1" fontId="18" fillId="0" borderId="0" xfId="10" applyNumberFormat="1" applyFont="1"/>
    <xf numFmtId="2" fontId="1" fillId="0" borderId="0" xfId="10" applyNumberFormat="1" applyFont="1"/>
    <xf numFmtId="0" fontId="18" fillId="0" borderId="0" xfId="10" applyFont="1"/>
    <xf numFmtId="1" fontId="18" fillId="0" borderId="0" xfId="10" applyNumberFormat="1" applyFont="1" applyBorder="1" applyAlignment="1">
      <alignment horizontal="right"/>
    </xf>
    <xf numFmtId="0" fontId="24" fillId="0" borderId="2" xfId="10" applyFont="1" applyBorder="1" applyAlignment="1">
      <alignment horizontal="right"/>
    </xf>
    <xf numFmtId="0" fontId="25" fillId="0" borderId="0" xfId="10" applyFont="1"/>
    <xf numFmtId="1" fontId="18" fillId="0" borderId="6" xfId="10" applyNumberFormat="1" applyFont="1" applyBorder="1" applyAlignment="1">
      <alignment horizontal="right"/>
    </xf>
    <xf numFmtId="0" fontId="18" fillId="0" borderId="6" xfId="10" applyFont="1" applyBorder="1" applyAlignment="1">
      <alignment horizontal="right"/>
    </xf>
    <xf numFmtId="0" fontId="23" fillId="0" borderId="0" xfId="10" quotePrefix="1"/>
    <xf numFmtId="2" fontId="23" fillId="0" borderId="0" xfId="10" applyNumberFormat="1"/>
    <xf numFmtId="1" fontId="18" fillId="0" borderId="2" xfId="10" applyNumberFormat="1" applyFont="1" applyBorder="1"/>
    <xf numFmtId="0" fontId="18" fillId="0" borderId="2" xfId="10" applyFont="1" applyBorder="1" applyAlignment="1">
      <alignment horizontal="right"/>
    </xf>
    <xf numFmtId="1" fontId="18" fillId="5" borderId="2" xfId="10" applyNumberFormat="1" applyFont="1" applyFill="1" applyBorder="1"/>
    <xf numFmtId="0" fontId="18" fillId="5" borderId="2" xfId="10" applyFont="1" applyFill="1" applyBorder="1"/>
    <xf numFmtId="0" fontId="24" fillId="5" borderId="2" xfId="10" applyFont="1" applyFill="1" applyBorder="1" applyAlignment="1">
      <alignment horizontal="right"/>
    </xf>
    <xf numFmtId="0" fontId="24" fillId="5" borderId="2" xfId="10" applyFont="1" applyFill="1" applyBorder="1" applyAlignment="1">
      <alignment horizontal="center"/>
    </xf>
    <xf numFmtId="0" fontId="24" fillId="0" borderId="2" xfId="10" quotePrefix="1" applyFont="1" applyBorder="1" applyAlignment="1">
      <alignment horizontal="right"/>
    </xf>
    <xf numFmtId="0" fontId="24" fillId="0" borderId="2" xfId="10" applyFont="1" applyFill="1" applyBorder="1" applyAlignment="1">
      <alignment horizontal="right"/>
    </xf>
    <xf numFmtId="0" fontId="26" fillId="0" borderId="2" xfId="10" applyFont="1" applyBorder="1" applyAlignment="1">
      <alignment horizontal="right"/>
    </xf>
    <xf numFmtId="0" fontId="24" fillId="5" borderId="2" xfId="10" applyFont="1" applyFill="1" applyBorder="1"/>
    <xf numFmtId="0" fontId="24" fillId="2" borderId="2" xfId="10" applyFont="1" applyFill="1" applyBorder="1" applyAlignment="1">
      <alignment horizontal="right"/>
    </xf>
    <xf numFmtId="0" fontId="24" fillId="0" borderId="2" xfId="10" applyFont="1" applyBorder="1"/>
    <xf numFmtId="0" fontId="27" fillId="0" borderId="2" xfId="10" applyFont="1" applyBorder="1" applyAlignment="1">
      <alignment horizontal="right"/>
    </xf>
    <xf numFmtId="0" fontId="28" fillId="0" borderId="2" xfId="10" applyFont="1" applyBorder="1" applyAlignment="1">
      <alignment horizontal="right"/>
    </xf>
    <xf numFmtId="0" fontId="29" fillId="0" borderId="2" xfId="10" applyFont="1" applyBorder="1" applyAlignment="1">
      <alignment horizontal="right"/>
    </xf>
    <xf numFmtId="0" fontId="23" fillId="0" borderId="0" xfId="10" applyBorder="1"/>
    <xf numFmtId="2" fontId="23" fillId="0" borderId="0" xfId="10" applyNumberFormat="1" applyBorder="1"/>
    <xf numFmtId="0" fontId="30" fillId="8" borderId="2" xfId="10" applyFont="1" applyFill="1" applyBorder="1" applyAlignment="1">
      <alignment horizontal="center" vertical="center"/>
    </xf>
    <xf numFmtId="0" fontId="30" fillId="5" borderId="2" xfId="10" applyFont="1" applyFill="1" applyBorder="1" applyAlignment="1">
      <alignment horizontal="center" vertical="center"/>
    </xf>
    <xf numFmtId="0" fontId="30" fillId="0" borderId="0" xfId="10" applyFont="1" applyBorder="1" applyAlignment="1">
      <alignment horizontal="center" vertical="center"/>
    </xf>
    <xf numFmtId="0" fontId="18" fillId="0" borderId="0" xfId="10" applyFont="1" applyBorder="1" applyAlignment="1">
      <alignment vertical="center" wrapText="1"/>
    </xf>
    <xf numFmtId="0" fontId="18" fillId="0" borderId="1" xfId="10" applyFont="1" applyBorder="1" applyAlignment="1">
      <alignment horizontal="center" vertical="center" wrapText="1"/>
    </xf>
    <xf numFmtId="0" fontId="24" fillId="0" borderId="0" xfId="10" applyFont="1"/>
    <xf numFmtId="0" fontId="18" fillId="0" borderId="0" xfId="10" applyFont="1" applyBorder="1" applyAlignment="1">
      <alignment horizontal="center" vertical="center" wrapText="1"/>
    </xf>
    <xf numFmtId="2" fontId="24" fillId="0" borderId="0" xfId="10" applyNumberFormat="1" applyFont="1" applyBorder="1" applyAlignment="1">
      <alignment horizontal="right"/>
    </xf>
    <xf numFmtId="2" fontId="18" fillId="5" borderId="2" xfId="10" applyNumberFormat="1" applyFont="1" applyFill="1" applyBorder="1"/>
    <xf numFmtId="2" fontId="18" fillId="5" borderId="2" xfId="10" applyNumberFormat="1" applyFont="1" applyFill="1" applyBorder="1" applyAlignment="1">
      <alignment horizontal="right"/>
    </xf>
    <xf numFmtId="2" fontId="24" fillId="5" borderId="2" xfId="10" applyNumberFormat="1" applyFont="1" applyFill="1" applyBorder="1"/>
    <xf numFmtId="2" fontId="24" fillId="5" borderId="2" xfId="10" applyNumberFormat="1" applyFont="1" applyFill="1" applyBorder="1" applyAlignment="1">
      <alignment horizontal="right"/>
    </xf>
    <xf numFmtId="2" fontId="24" fillId="5" borderId="2" xfId="10" quotePrefix="1" applyNumberFormat="1" applyFont="1" applyFill="1" applyBorder="1" applyAlignment="1">
      <alignment horizontal="right"/>
    </xf>
    <xf numFmtId="0" fontId="24" fillId="5" borderId="2" xfId="10" applyFont="1" applyFill="1" applyBorder="1" applyAlignment="1">
      <alignment wrapText="1"/>
    </xf>
    <xf numFmtId="0" fontId="23" fillId="5" borderId="2" xfId="10" applyFill="1" applyBorder="1"/>
    <xf numFmtId="2" fontId="30" fillId="5" borderId="2" xfId="10" applyNumberFormat="1" applyFont="1" applyFill="1" applyBorder="1" applyAlignment="1">
      <alignment horizontal="center" vertical="center"/>
    </xf>
    <xf numFmtId="0" fontId="24" fillId="0" borderId="0" xfId="10" applyFont="1" applyBorder="1"/>
    <xf numFmtId="0" fontId="1" fillId="5" borderId="0" xfId="10" applyFont="1" applyFill="1"/>
    <xf numFmtId="0" fontId="23" fillId="0" borderId="0" xfId="10" applyNumberFormat="1" applyAlignment="1" applyProtection="1">
      <protection locked="0"/>
    </xf>
    <xf numFmtId="0" fontId="33" fillId="0" borderId="0" xfId="10" applyFont="1" applyFill="1" applyBorder="1" applyAlignment="1">
      <alignment horizontal="right" wrapText="1"/>
    </xf>
    <xf numFmtId="0" fontId="24" fillId="0" borderId="7" xfId="10" applyFont="1" applyFill="1" applyBorder="1"/>
    <xf numFmtId="0" fontId="25" fillId="5" borderId="2" xfId="10" applyFont="1" applyFill="1" applyBorder="1"/>
    <xf numFmtId="0" fontId="18" fillId="5" borderId="2" xfId="10" applyFont="1" applyFill="1" applyBorder="1" applyAlignment="1">
      <alignment horizontal="right"/>
    </xf>
    <xf numFmtId="0" fontId="34" fillId="5" borderId="2" xfId="10" applyFont="1" applyFill="1" applyBorder="1" applyAlignment="1">
      <alignment horizontal="right" wrapText="1"/>
    </xf>
    <xf numFmtId="0" fontId="18" fillId="0" borderId="2" xfId="10" applyFont="1" applyBorder="1"/>
    <xf numFmtId="0" fontId="34" fillId="0" borderId="2" xfId="10" applyFont="1" applyBorder="1" applyAlignment="1">
      <alignment horizontal="right" wrapText="1"/>
    </xf>
    <xf numFmtId="0" fontId="18" fillId="0" borderId="2" xfId="10" applyNumberFormat="1" applyFont="1" applyBorder="1" applyAlignment="1" applyProtection="1">
      <protection locked="0"/>
    </xf>
    <xf numFmtId="0" fontId="1" fillId="5" borderId="2" xfId="10" applyFont="1" applyFill="1" applyBorder="1"/>
    <xf numFmtId="0" fontId="33" fillId="5" borderId="2" xfId="10" applyFont="1" applyFill="1" applyBorder="1" applyAlignment="1">
      <alignment horizontal="right" wrapText="1"/>
    </xf>
    <xf numFmtId="1" fontId="24" fillId="0" borderId="2" xfId="10" applyNumberFormat="1" applyFont="1" applyBorder="1"/>
    <xf numFmtId="0" fontId="33" fillId="0" borderId="2" xfId="10" applyFont="1" applyBorder="1" applyAlignment="1">
      <alignment horizontal="right" wrapText="1"/>
    </xf>
    <xf numFmtId="0" fontId="24" fillId="0" borderId="2" xfId="10" applyNumberFormat="1" applyFont="1" applyBorder="1" applyAlignment="1" applyProtection="1">
      <protection locked="0"/>
    </xf>
    <xf numFmtId="0" fontId="35" fillId="0" borderId="2" xfId="10" applyFont="1" applyBorder="1"/>
    <xf numFmtId="0" fontId="35" fillId="0" borderId="2" xfId="10" applyFont="1" applyBorder="1" applyAlignment="1">
      <alignment horizontal="right"/>
    </xf>
    <xf numFmtId="0" fontId="35" fillId="0" borderId="2" xfId="10" applyNumberFormat="1" applyFont="1" applyBorder="1" applyAlignment="1" applyProtection="1">
      <alignment horizontal="right"/>
      <protection locked="0"/>
    </xf>
    <xf numFmtId="0" fontId="27" fillId="0" borderId="2" xfId="10" applyFont="1" applyBorder="1"/>
    <xf numFmtId="0" fontId="27" fillId="0" borderId="2" xfId="10" applyFont="1" applyFill="1" applyBorder="1"/>
    <xf numFmtId="0" fontId="36" fillId="0" borderId="2" xfId="10" applyFont="1" applyBorder="1" applyAlignment="1">
      <alignment horizontal="right" wrapText="1"/>
    </xf>
    <xf numFmtId="0" fontId="27" fillId="0" borderId="2" xfId="10" applyNumberFormat="1" applyFont="1" applyBorder="1" applyAlignment="1" applyProtection="1">
      <protection locked="0"/>
    </xf>
    <xf numFmtId="0" fontId="24" fillId="0" borderId="2" xfId="10" applyFont="1" applyFill="1" applyBorder="1"/>
    <xf numFmtId="0" fontId="24" fillId="0" borderId="2" xfId="10" applyNumberFormat="1" applyFont="1" applyBorder="1" applyAlignment="1" applyProtection="1">
      <alignment horizontal="right"/>
      <protection locked="0"/>
    </xf>
    <xf numFmtId="0" fontId="29" fillId="0" borderId="2" xfId="10" applyFont="1" applyBorder="1"/>
    <xf numFmtId="0" fontId="29" fillId="0" borderId="2" xfId="10" applyNumberFormat="1" applyFont="1" applyBorder="1" applyAlignment="1" applyProtection="1">
      <protection locked="0"/>
    </xf>
    <xf numFmtId="0" fontId="25" fillId="5" borderId="1" xfId="10" applyFont="1" applyFill="1" applyBorder="1" applyAlignment="1"/>
    <xf numFmtId="0" fontId="25" fillId="5" borderId="0" xfId="10" applyFont="1" applyFill="1" applyBorder="1" applyAlignment="1">
      <alignment horizontal="center" vertical="center"/>
    </xf>
    <xf numFmtId="0" fontId="18" fillId="5" borderId="0" xfId="10" applyFont="1" applyFill="1" applyAlignment="1">
      <alignment wrapText="1"/>
    </xf>
    <xf numFmtId="0" fontId="18" fillId="5" borderId="0" xfId="10" applyFont="1" applyFill="1" applyAlignment="1">
      <alignment horizontal="center" vertical="center"/>
    </xf>
    <xf numFmtId="0" fontId="24" fillId="5" borderId="0" xfId="10" applyFont="1" applyFill="1"/>
    <xf numFmtId="0" fontId="24" fillId="2" borderId="2" xfId="10" applyFont="1" applyFill="1" applyBorder="1"/>
    <xf numFmtId="0" fontId="24" fillId="2" borderId="2" xfId="10" applyFont="1" applyFill="1" applyBorder="1" applyAlignment="1">
      <alignment wrapText="1"/>
    </xf>
    <xf numFmtId="0" fontId="18" fillId="2" borderId="2" xfId="10" applyFont="1" applyFill="1" applyBorder="1"/>
    <xf numFmtId="0" fontId="4" fillId="2" borderId="0" xfId="8" applyFont="1" applyFill="1" applyAlignment="1">
      <alignment vertical="center"/>
    </xf>
    <xf numFmtId="0" fontId="8" fillId="2" borderId="0" xfId="8" applyFont="1" applyFill="1" applyAlignment="1">
      <alignment horizontal="right" vertical="center"/>
    </xf>
    <xf numFmtId="0" fontId="8" fillId="2" borderId="0" xfId="8" applyFont="1" applyFill="1" applyAlignment="1">
      <alignment vertical="center"/>
    </xf>
    <xf numFmtId="0" fontId="3" fillId="2" borderId="1" xfId="8" applyFont="1" applyFill="1" applyBorder="1" applyAlignment="1">
      <alignment horizontal="left" vertical="center" indent="11"/>
    </xf>
    <xf numFmtId="0" fontId="3" fillId="2" borderId="1" xfId="8" applyFont="1" applyFill="1" applyBorder="1" applyAlignment="1">
      <alignment vertical="center"/>
    </xf>
    <xf numFmtId="0" fontId="3" fillId="2" borderId="2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24" fillId="6" borderId="2" xfId="10" applyFont="1" applyFill="1" applyBorder="1" applyAlignment="1">
      <alignment horizontal="center"/>
    </xf>
    <xf numFmtId="0" fontId="24" fillId="6" borderId="2" xfId="10" applyFont="1" applyFill="1" applyBorder="1"/>
    <xf numFmtId="0" fontId="24" fillId="6" borderId="2" xfId="10" applyFont="1" applyFill="1" applyBorder="1" applyAlignment="1">
      <alignment horizontal="right"/>
    </xf>
    <xf numFmtId="2" fontId="23" fillId="6" borderId="0" xfId="10" applyNumberFormat="1" applyFill="1"/>
    <xf numFmtId="0" fontId="23" fillId="6" borderId="0" xfId="10" applyFill="1"/>
    <xf numFmtId="0" fontId="24" fillId="6" borderId="2" xfId="10" quotePrefix="1" applyFont="1" applyFill="1" applyBorder="1" applyAlignment="1">
      <alignment horizontal="right"/>
    </xf>
    <xf numFmtId="0" fontId="3" fillId="4" borderId="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3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vertical="center"/>
    </xf>
    <xf numFmtId="0" fontId="39" fillId="2" borderId="0" xfId="1" applyFont="1" applyFill="1" applyBorder="1" applyAlignment="1">
      <alignment vertical="center"/>
    </xf>
    <xf numFmtId="1" fontId="3" fillId="2" borderId="0" xfId="1" applyNumberFormat="1" applyFont="1" applyFill="1" applyBorder="1" applyAlignment="1">
      <alignment vertical="center"/>
    </xf>
    <xf numFmtId="1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0" fontId="22" fillId="0" borderId="0" xfId="1" applyFont="1" applyBorder="1" applyAlignment="1">
      <alignment vertical="center"/>
    </xf>
    <xf numFmtId="0" fontId="5" fillId="4" borderId="2" xfId="1" applyFont="1" applyFill="1" applyBorder="1" applyAlignment="1">
      <alignment horizontal="center" vertical="center" wrapText="1"/>
    </xf>
    <xf numFmtId="0" fontId="40" fillId="0" borderId="2" xfId="1" applyFont="1" applyBorder="1" applyAlignment="1">
      <alignment horizontal="center" vertical="center"/>
    </xf>
    <xf numFmtId="0" fontId="40" fillId="2" borderId="2" xfId="0" applyFont="1" applyFill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right" vertical="center" indent="1"/>
    </xf>
    <xf numFmtId="1" fontId="3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9" borderId="0" xfId="1" applyFont="1" applyFill="1" applyBorder="1" applyAlignment="1">
      <alignment vertical="center"/>
    </xf>
    <xf numFmtId="0" fontId="4" fillId="9" borderId="0" xfId="1" applyFont="1" applyFill="1" applyBorder="1" applyAlignment="1">
      <alignment horizontal="center" vertical="center"/>
    </xf>
    <xf numFmtId="164" fontId="4" fillId="9" borderId="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vertical="center"/>
    </xf>
    <xf numFmtId="0" fontId="4" fillId="10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vertical="center"/>
    </xf>
    <xf numFmtId="0" fontId="4" fillId="11" borderId="0" xfId="1" applyFont="1" applyFill="1" applyBorder="1" applyAlignment="1">
      <alignment vertical="center"/>
    </xf>
    <xf numFmtId="0" fontId="3" fillId="11" borderId="2" xfId="1" applyFont="1" applyFill="1" applyBorder="1" applyAlignment="1">
      <alignment horizontal="center" vertical="center"/>
    </xf>
    <xf numFmtId="0" fontId="4" fillId="11" borderId="0" xfId="1" applyFont="1" applyFill="1" applyBorder="1" applyAlignment="1">
      <alignment horizontal="center" vertical="center"/>
    </xf>
    <xf numFmtId="0" fontId="3" fillId="11" borderId="2" xfId="1" applyFont="1" applyFill="1" applyBorder="1" applyAlignment="1">
      <alignment horizontal="center" vertical="center" wrapText="1"/>
    </xf>
    <xf numFmtId="164" fontId="4" fillId="11" borderId="0" xfId="1" applyNumberFormat="1" applyFont="1" applyFill="1" applyBorder="1" applyAlignment="1">
      <alignment horizontal="center" vertical="center"/>
    </xf>
    <xf numFmtId="0" fontId="3" fillId="11" borderId="3" xfId="1" applyFont="1" applyFill="1" applyBorder="1" applyAlignment="1">
      <alignment horizontal="center" vertical="center" wrapText="1"/>
    </xf>
    <xf numFmtId="0" fontId="41" fillId="0" borderId="0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22" fillId="0" borderId="2" xfId="1" applyFont="1" applyBorder="1" applyAlignment="1">
      <alignment horizontal="right" vertical="center"/>
    </xf>
    <xf numFmtId="1" fontId="3" fillId="7" borderId="2" xfId="1" applyNumberFormat="1" applyFont="1" applyFill="1" applyBorder="1" applyAlignment="1">
      <alignment vertical="center"/>
    </xf>
    <xf numFmtId="0" fontId="3" fillId="7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3" fillId="4" borderId="2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30" fillId="5" borderId="2" xfId="10" applyFont="1" applyFill="1" applyBorder="1" applyAlignment="1">
      <alignment horizontal="center" vertical="center"/>
    </xf>
    <xf numFmtId="0" fontId="30" fillId="5" borderId="2" xfId="10" applyFont="1" applyFill="1" applyBorder="1" applyAlignment="1">
      <alignment horizontal="center" vertical="center" wrapText="1"/>
    </xf>
    <xf numFmtId="0" fontId="30" fillId="0" borderId="0" xfId="10" applyFont="1" applyBorder="1" applyAlignment="1">
      <alignment horizontal="center" vertical="center" wrapText="1"/>
    </xf>
    <xf numFmtId="0" fontId="30" fillId="8" borderId="2" xfId="10" applyFont="1" applyFill="1" applyBorder="1" applyAlignment="1">
      <alignment horizontal="center" vertical="center" wrapText="1"/>
    </xf>
    <xf numFmtId="0" fontId="18" fillId="0" borderId="1" xfId="10" applyFont="1" applyBorder="1" applyAlignment="1">
      <alignment horizontal="center" vertical="center" wrapText="1"/>
    </xf>
    <xf numFmtId="0" fontId="18" fillId="0" borderId="0" xfId="10" applyFont="1" applyBorder="1" applyAlignment="1">
      <alignment horizontal="center" vertical="center" wrapText="1"/>
    </xf>
    <xf numFmtId="0" fontId="31" fillId="5" borderId="2" xfId="10" applyFont="1" applyFill="1" applyBorder="1" applyAlignment="1">
      <alignment horizontal="center" vertical="center"/>
    </xf>
    <xf numFmtId="0" fontId="37" fillId="5" borderId="2" xfId="10" applyFont="1" applyFill="1" applyBorder="1" applyAlignment="1">
      <alignment horizontal="center" vertical="center" wrapText="1"/>
    </xf>
    <xf numFmtId="0" fontId="37" fillId="5" borderId="2" xfId="10" applyFont="1" applyFill="1" applyBorder="1" applyAlignment="1">
      <alignment horizontal="center" vertical="center"/>
    </xf>
    <xf numFmtId="0" fontId="18" fillId="5" borderId="9" xfId="10" applyFont="1" applyFill="1" applyBorder="1" applyAlignment="1">
      <alignment horizontal="center"/>
    </xf>
    <xf numFmtId="0" fontId="18" fillId="5" borderId="1" xfId="10" applyFont="1" applyFill="1" applyBorder="1" applyAlignment="1">
      <alignment horizontal="center"/>
    </xf>
    <xf numFmtId="0" fontId="18" fillId="8" borderId="1" xfId="10" applyFont="1" applyFill="1" applyBorder="1" applyAlignment="1">
      <alignment horizontal="center"/>
    </xf>
    <xf numFmtId="0" fontId="18" fillId="5" borderId="0" xfId="10" applyFont="1" applyFill="1" applyAlignment="1">
      <alignment horizontal="center" wrapText="1"/>
    </xf>
    <xf numFmtId="0" fontId="38" fillId="5" borderId="0" xfId="10" applyFont="1" applyFill="1" applyBorder="1" applyAlignment="1">
      <alignment horizontal="center" vertical="center"/>
    </xf>
    <xf numFmtId="0" fontId="38" fillId="5" borderId="1" xfId="10" applyFont="1" applyFill="1" applyBorder="1" applyAlignment="1">
      <alignment horizontal="center"/>
    </xf>
    <xf numFmtId="0" fontId="18" fillId="8" borderId="0" xfId="10" applyFont="1" applyFill="1" applyAlignment="1">
      <alignment horizontal="center" wrapText="1"/>
    </xf>
    <xf numFmtId="0" fontId="14" fillId="4" borderId="2" xfId="9" applyFont="1" applyFill="1" applyBorder="1" applyAlignment="1">
      <alignment horizontal="center" vertical="center" wrapText="1"/>
    </xf>
    <xf numFmtId="0" fontId="14" fillId="4" borderId="2" xfId="9" applyFont="1" applyFill="1" applyBorder="1" applyAlignment="1">
      <alignment horizontal="center" vertical="center"/>
    </xf>
    <xf numFmtId="0" fontId="3" fillId="4" borderId="3" xfId="9" applyFont="1" applyFill="1" applyBorder="1" applyAlignment="1">
      <alignment horizontal="center" vertical="center"/>
    </xf>
    <xf numFmtId="0" fontId="3" fillId="4" borderId="4" xfId="9" applyFont="1" applyFill="1" applyBorder="1" applyAlignment="1">
      <alignment horizontal="center" vertical="center"/>
    </xf>
    <xf numFmtId="0" fontId="3" fillId="4" borderId="2" xfId="9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16" fontId="3" fillId="4" borderId="3" xfId="8" applyNumberFormat="1" applyFont="1" applyFill="1" applyBorder="1" applyAlignment="1">
      <alignment horizontal="center" vertical="center"/>
    </xf>
    <xf numFmtId="16" fontId="3" fillId="4" borderId="5" xfId="8" applyNumberFormat="1" applyFont="1" applyFill="1" applyBorder="1" applyAlignment="1">
      <alignment horizontal="center" vertical="center"/>
    </xf>
    <xf numFmtId="16" fontId="3" fillId="4" borderId="4" xfId="8" applyNumberFormat="1" applyFont="1" applyFill="1" applyBorder="1" applyAlignment="1">
      <alignment horizontal="center" vertical="center"/>
    </xf>
    <xf numFmtId="0" fontId="3" fillId="4" borderId="2" xfId="8" applyFont="1" applyFill="1" applyBorder="1" applyAlignment="1">
      <alignment horizontal="center" vertical="center"/>
    </xf>
    <xf numFmtId="0" fontId="3" fillId="4" borderId="2" xfId="8" applyFont="1" applyFill="1" applyBorder="1" applyAlignment="1">
      <alignment horizontal="center" vertical="center" wrapText="1"/>
    </xf>
    <xf numFmtId="16" fontId="3" fillId="2" borderId="3" xfId="8" applyNumberFormat="1" applyFont="1" applyFill="1" applyBorder="1" applyAlignment="1">
      <alignment horizontal="center" vertical="center"/>
    </xf>
    <xf numFmtId="16" fontId="3" fillId="2" borderId="5" xfId="8" applyNumberFormat="1" applyFont="1" applyFill="1" applyBorder="1" applyAlignment="1">
      <alignment horizontal="center" vertical="center"/>
    </xf>
    <xf numFmtId="16" fontId="3" fillId="2" borderId="4" xfId="8" applyNumberFormat="1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/>
    </xf>
    <xf numFmtId="0" fontId="3" fillId="2" borderId="8" xfId="8" applyFont="1" applyFill="1" applyBorder="1" applyAlignment="1">
      <alignment horizontal="center" vertical="center" wrapText="1"/>
    </xf>
    <xf numFmtId="0" fontId="3" fillId="2" borderId="6" xfId="8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/>
    </xf>
    <xf numFmtId="0" fontId="3" fillId="7" borderId="4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 vertical="center"/>
    </xf>
  </cellXfs>
  <cellStyles count="11">
    <cellStyle name="Comma 2" xfId="2"/>
    <cellStyle name="Normal" xfId="0" builtinId="0"/>
    <cellStyle name="Normal 2" xfId="1"/>
    <cellStyle name="Normal 2 2" xfId="3"/>
    <cellStyle name="Normal 2 2 2" xfId="9"/>
    <cellStyle name="Normal 2_SSE 2008-09" xfId="4"/>
    <cellStyle name="Normal 3" xfId="5"/>
    <cellStyle name="Normal 4" xfId="7"/>
    <cellStyle name="Normal 5" xfId="8"/>
    <cellStyle name="Normal 6" xfId="10"/>
    <cellStyle name="Percent 2" xfId="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1050"/>
            </a:pPr>
            <a:r>
              <a:rPr lang="en-US" sz="1050" b="1" i="0" u="none" strike="noStrike" baseline="0"/>
              <a:t>Figure 3: </a:t>
            </a:r>
            <a:r>
              <a:rPr lang="en-US" sz="1050"/>
              <a:t>% distribution of schools by management</a:t>
            </a:r>
          </a:p>
        </c:rich>
      </c:tx>
      <c:layout>
        <c:manualLayout>
          <c:xMode val="edge"/>
          <c:yMode val="edge"/>
          <c:x val="0.14308589764558363"/>
          <c:y val="0.8770366278044317"/>
        </c:manualLayout>
      </c:layout>
    </c:title>
    <c:view3D>
      <c:rotX val="30"/>
      <c:rotY val="180"/>
      <c:depthPercent val="100"/>
      <c:perspective val="30"/>
    </c:view3D>
    <c:plotArea>
      <c:layout>
        <c:manualLayout>
          <c:layoutTarget val="inner"/>
          <c:xMode val="edge"/>
          <c:yMode val="edge"/>
          <c:x val="2.689159404035921E-2"/>
          <c:y val="0.23384579348111287"/>
          <c:w val="0.97310840595964077"/>
          <c:h val="0.61618495599418865"/>
        </c:manualLayout>
      </c:layout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InstMan!$C$46:$C$49</c:f>
              <c:strCache>
                <c:ptCount val="4"/>
                <c:pt idx="0">
                  <c:v>Government</c:v>
                </c:pt>
                <c:pt idx="1">
                  <c:v>Local Bodies</c:v>
                </c:pt>
                <c:pt idx="2">
                  <c:v>Private Aided</c:v>
                </c:pt>
                <c:pt idx="3">
                  <c:v>Private Unaided</c:v>
                </c:pt>
              </c:strCache>
            </c:strRef>
          </c:cat>
          <c:val>
            <c:numRef>
              <c:f>InstMan!$D$46:$D$49</c:f>
              <c:numCache>
                <c:formatCode>General</c:formatCode>
                <c:ptCount val="4"/>
                <c:pt idx="0">
                  <c:v>730205</c:v>
                </c:pt>
                <c:pt idx="1">
                  <c:v>292342</c:v>
                </c:pt>
                <c:pt idx="2">
                  <c:v>142101</c:v>
                </c:pt>
                <c:pt idx="3">
                  <c:v>242995</c:v>
                </c:pt>
              </c:numCache>
            </c:numRef>
          </c:val>
        </c:ser>
      </c:pie3DChart>
    </c:plotArea>
    <c:legend>
      <c:legendPos val="t"/>
      <c:layout>
        <c:manualLayout>
          <c:xMode val="edge"/>
          <c:yMode val="edge"/>
          <c:x val="3.2899834108274038E-2"/>
          <c:y val="4.6340719117774688E-2"/>
          <c:w val="0.92628706278184059"/>
          <c:h val="0.13431594782574621"/>
        </c:manualLayout>
      </c:layout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900"/>
            </a:pPr>
            <a:r>
              <a:rPr lang="en-US" sz="900" b="1" i="0" baseline="0"/>
              <a:t>Figure 6: GER in 2011-12 at various levels</a:t>
            </a:r>
          </a:p>
        </c:rich>
      </c:tx>
      <c:layout>
        <c:manualLayout>
          <c:xMode val="edge"/>
          <c:yMode val="edge"/>
          <c:x val="0.16896776447835671"/>
          <c:y val="0.85488557128120135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7783639274193175"/>
          <c:y val="7.1890266165291594E-2"/>
          <c:w val="0.77675597051918044"/>
          <c:h val="0.63358063066209513"/>
        </c:manualLayout>
      </c:layout>
      <c:bar3DChart>
        <c:barDir val="col"/>
        <c:grouping val="clustered"/>
        <c:ser>
          <c:idx val="0"/>
          <c:order val="0"/>
          <c:tx>
            <c:strRef>
              <c:f>GERAll!$D$45</c:f>
              <c:strCache>
                <c:ptCount val="1"/>
                <c:pt idx="0">
                  <c:v>All</c:v>
                </c:pt>
              </c:strCache>
            </c:strRef>
          </c:tx>
          <c:cat>
            <c:strRef>
              <c:f>GERAll!$C$46:$C$49</c:f>
              <c:strCache>
                <c:ptCount val="4"/>
                <c:pt idx="0">
                  <c:v>I-V</c:v>
                </c:pt>
                <c:pt idx="1">
                  <c:v>VI-VIII</c:v>
                </c:pt>
                <c:pt idx="2">
                  <c:v>IX-X</c:v>
                </c:pt>
                <c:pt idx="3">
                  <c:v>XI-XII</c:v>
                </c:pt>
              </c:strCache>
            </c:strRef>
          </c:cat>
          <c:val>
            <c:numRef>
              <c:f>GERAll!$D$46:$D$49</c:f>
              <c:numCache>
                <c:formatCode>0.0</c:formatCode>
                <c:ptCount val="4"/>
                <c:pt idx="0">
                  <c:v>106.45201485102142</c:v>
                </c:pt>
                <c:pt idx="1">
                  <c:v>81.95688568399332</c:v>
                </c:pt>
                <c:pt idx="2">
                  <c:v>66.583925707747653</c:v>
                </c:pt>
                <c:pt idx="3">
                  <c:v>45.873031789350385</c:v>
                </c:pt>
              </c:numCache>
            </c:numRef>
          </c:val>
        </c:ser>
        <c:ser>
          <c:idx val="1"/>
          <c:order val="1"/>
          <c:tx>
            <c:strRef>
              <c:f>GERAll!$E$45</c:f>
              <c:strCache>
                <c:ptCount val="1"/>
                <c:pt idx="0">
                  <c:v>SC</c:v>
                </c:pt>
              </c:strCache>
            </c:strRef>
          </c:tx>
          <c:cat>
            <c:strRef>
              <c:f>GERAll!$C$46:$C$49</c:f>
              <c:strCache>
                <c:ptCount val="4"/>
                <c:pt idx="0">
                  <c:v>I-V</c:v>
                </c:pt>
                <c:pt idx="1">
                  <c:v>VI-VIII</c:v>
                </c:pt>
                <c:pt idx="2">
                  <c:v>IX-X</c:v>
                </c:pt>
                <c:pt idx="3">
                  <c:v>XI-XII</c:v>
                </c:pt>
              </c:strCache>
            </c:strRef>
          </c:cat>
          <c:val>
            <c:numRef>
              <c:f>GERAll!$E$46:$E$49</c:f>
              <c:numCache>
                <c:formatCode>0.0</c:formatCode>
                <c:ptCount val="4"/>
                <c:pt idx="0">
                  <c:v>131.36379535207107</c:v>
                </c:pt>
                <c:pt idx="1">
                  <c:v>92.237272363158993</c:v>
                </c:pt>
                <c:pt idx="2">
                  <c:v>70.71812793418087</c:v>
                </c:pt>
                <c:pt idx="3">
                  <c:v>38.510723711956111</c:v>
                </c:pt>
              </c:numCache>
            </c:numRef>
          </c:val>
        </c:ser>
        <c:ser>
          <c:idx val="2"/>
          <c:order val="2"/>
          <c:tx>
            <c:strRef>
              <c:f>GERAll!$F$45</c:f>
              <c:strCache>
                <c:ptCount val="1"/>
                <c:pt idx="0">
                  <c:v>ST</c:v>
                </c:pt>
              </c:strCache>
            </c:strRef>
          </c:tx>
          <c:cat>
            <c:strRef>
              <c:f>GERAll!$C$46:$C$49</c:f>
              <c:strCache>
                <c:ptCount val="4"/>
                <c:pt idx="0">
                  <c:v>I-V</c:v>
                </c:pt>
                <c:pt idx="1">
                  <c:v>VI-VIII</c:v>
                </c:pt>
                <c:pt idx="2">
                  <c:v>IX-X</c:v>
                </c:pt>
                <c:pt idx="3">
                  <c:v>XI-XII</c:v>
                </c:pt>
              </c:strCache>
            </c:strRef>
          </c:cat>
          <c:val>
            <c:numRef>
              <c:f>GERAll!$F$46:$F$49</c:f>
              <c:numCache>
                <c:formatCode>0.0</c:formatCode>
                <c:ptCount val="4"/>
                <c:pt idx="0">
                  <c:v>136.96183348144382</c:v>
                </c:pt>
                <c:pt idx="1">
                  <c:v>88.880260604953548</c:v>
                </c:pt>
                <c:pt idx="2">
                  <c:v>53.25606515288235</c:v>
                </c:pt>
                <c:pt idx="3">
                  <c:v>28.802414923927071</c:v>
                </c:pt>
              </c:numCache>
            </c:numRef>
          </c:val>
        </c:ser>
        <c:shape val="cylinder"/>
        <c:axId val="108421120"/>
        <c:axId val="108422656"/>
        <c:axId val="0"/>
      </c:bar3DChart>
      <c:catAx>
        <c:axId val="10842112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08422656"/>
        <c:crosses val="autoZero"/>
        <c:auto val="1"/>
        <c:lblAlgn val="ctr"/>
        <c:lblOffset val="100"/>
      </c:catAx>
      <c:valAx>
        <c:axId val="108422656"/>
        <c:scaling>
          <c:orientation val="minMax"/>
        </c:scaling>
        <c:axPos val="l"/>
        <c:numFmt formatCode="0" sourceLinked="0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08421120"/>
        <c:crosses val="autoZero"/>
        <c:crossBetween val="between"/>
        <c:majorUnit val="20"/>
      </c:valAx>
    </c:plotArea>
    <c:legend>
      <c:legendPos val="t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900"/>
            </a:pPr>
            <a:r>
              <a:rPr lang="en-US" sz="900" b="1" i="0" baseline="0"/>
              <a:t>Figure 8: GPI in 2011-12 at various levels</a:t>
            </a:r>
            <a:endParaRPr lang="en-US" sz="900"/>
          </a:p>
        </c:rich>
      </c:tx>
      <c:layout>
        <c:manualLayout>
          <c:xMode val="edge"/>
          <c:yMode val="edge"/>
          <c:x val="0.24832241207409209"/>
          <c:y val="0.87203791469194314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236520313913006"/>
          <c:y val="8.27017949770497E-2"/>
          <c:w val="0.87046128858962102"/>
          <c:h val="0.52117923648170406"/>
        </c:manualLayout>
      </c:layout>
      <c:bar3DChart>
        <c:barDir val="col"/>
        <c:grouping val="clustered"/>
        <c:ser>
          <c:idx val="0"/>
          <c:order val="0"/>
          <c:tx>
            <c:strRef>
              <c:f>[3]GPI!$B$42</c:f>
              <c:strCache>
                <c:ptCount val="1"/>
                <c:pt idx="0">
                  <c:v>All</c:v>
                </c:pt>
              </c:strCache>
            </c:strRef>
          </c:tx>
          <c:cat>
            <c:strRef>
              <c:f>[3]GPI!$C$41:$J$41</c:f>
              <c:strCache>
                <c:ptCount val="8"/>
                <c:pt idx="0">
                  <c:v>Classes
I-V</c:v>
                </c:pt>
                <c:pt idx="1">
                  <c:v>Classes
VI-VIII</c:v>
                </c:pt>
                <c:pt idx="2">
                  <c:v>Classes
I-VIII</c:v>
                </c:pt>
                <c:pt idx="3">
                  <c:v>Classes
IX-X</c:v>
                </c:pt>
                <c:pt idx="4">
                  <c:v>Classes
I-X</c:v>
                </c:pt>
                <c:pt idx="5">
                  <c:v>Classes
XI-XII</c:v>
                </c:pt>
                <c:pt idx="6">
                  <c:v>Classes
IX-XII</c:v>
                </c:pt>
                <c:pt idx="7">
                  <c:v>Classes
I-XII</c:v>
                </c:pt>
              </c:strCache>
            </c:strRef>
          </c:cat>
          <c:val>
            <c:numRef>
              <c:f>[3]GPI!$C$42:$J$42</c:f>
              <c:numCache>
                <c:formatCode>General</c:formatCode>
                <c:ptCount val="8"/>
                <c:pt idx="0">
                  <c:v>1</c:v>
                </c:pt>
                <c:pt idx="1">
                  <c:v>0.94</c:v>
                </c:pt>
                <c:pt idx="2">
                  <c:v>0.98</c:v>
                </c:pt>
                <c:pt idx="3">
                  <c:v>0.88</c:v>
                </c:pt>
                <c:pt idx="4">
                  <c:v>0.96</c:v>
                </c:pt>
                <c:pt idx="5">
                  <c:v>0.87</c:v>
                </c:pt>
                <c:pt idx="6">
                  <c:v>0.88</c:v>
                </c:pt>
                <c:pt idx="7">
                  <c:v>0.96</c:v>
                </c:pt>
              </c:numCache>
            </c:numRef>
          </c:val>
        </c:ser>
        <c:ser>
          <c:idx val="1"/>
          <c:order val="1"/>
          <c:tx>
            <c:strRef>
              <c:f>[3]GPI!$B$43</c:f>
              <c:strCache>
                <c:ptCount val="1"/>
                <c:pt idx="0">
                  <c:v>SC</c:v>
                </c:pt>
              </c:strCache>
            </c:strRef>
          </c:tx>
          <c:cat>
            <c:strRef>
              <c:f>[3]GPI!$C$41:$J$41</c:f>
              <c:strCache>
                <c:ptCount val="8"/>
                <c:pt idx="0">
                  <c:v>Classes
I-V</c:v>
                </c:pt>
                <c:pt idx="1">
                  <c:v>Classes
VI-VIII</c:v>
                </c:pt>
                <c:pt idx="2">
                  <c:v>Classes
I-VIII</c:v>
                </c:pt>
                <c:pt idx="3">
                  <c:v>Classes
IX-X</c:v>
                </c:pt>
                <c:pt idx="4">
                  <c:v>Classes
I-X</c:v>
                </c:pt>
                <c:pt idx="5">
                  <c:v>Classes
XI-XII</c:v>
                </c:pt>
                <c:pt idx="6">
                  <c:v>Classes
IX-XII</c:v>
                </c:pt>
                <c:pt idx="7">
                  <c:v>Classes
I-XII</c:v>
                </c:pt>
              </c:strCache>
            </c:strRef>
          </c:cat>
          <c:val>
            <c:numRef>
              <c:f>[3]GPI!$C$43:$J$43</c:f>
              <c:numCache>
                <c:formatCode>General</c:formatCode>
                <c:ptCount val="8"/>
                <c:pt idx="0">
                  <c:v>1</c:v>
                </c:pt>
                <c:pt idx="1">
                  <c:v>0.97</c:v>
                </c:pt>
                <c:pt idx="2">
                  <c:v>0.99</c:v>
                </c:pt>
                <c:pt idx="3">
                  <c:v>0.9</c:v>
                </c:pt>
                <c:pt idx="4">
                  <c:v>0.98</c:v>
                </c:pt>
                <c:pt idx="5">
                  <c:v>0.9</c:v>
                </c:pt>
                <c:pt idx="6">
                  <c:v>0.9</c:v>
                </c:pt>
                <c:pt idx="7">
                  <c:v>0.98</c:v>
                </c:pt>
              </c:numCache>
            </c:numRef>
          </c:val>
        </c:ser>
        <c:ser>
          <c:idx val="2"/>
          <c:order val="2"/>
          <c:tx>
            <c:strRef>
              <c:f>[3]GPI!$B$44</c:f>
              <c:strCache>
                <c:ptCount val="1"/>
                <c:pt idx="0">
                  <c:v>ST</c:v>
                </c:pt>
              </c:strCache>
            </c:strRef>
          </c:tx>
          <c:cat>
            <c:strRef>
              <c:f>[3]GPI!$C$41:$J$41</c:f>
              <c:strCache>
                <c:ptCount val="8"/>
                <c:pt idx="0">
                  <c:v>Classes
I-V</c:v>
                </c:pt>
                <c:pt idx="1">
                  <c:v>Classes
VI-VIII</c:v>
                </c:pt>
                <c:pt idx="2">
                  <c:v>Classes
I-VIII</c:v>
                </c:pt>
                <c:pt idx="3">
                  <c:v>Classes
IX-X</c:v>
                </c:pt>
                <c:pt idx="4">
                  <c:v>Classes
I-X</c:v>
                </c:pt>
                <c:pt idx="5">
                  <c:v>Classes
XI-XII</c:v>
                </c:pt>
                <c:pt idx="6">
                  <c:v>Classes
IX-XII</c:v>
                </c:pt>
                <c:pt idx="7">
                  <c:v>Classes
I-XII</c:v>
                </c:pt>
              </c:strCache>
            </c:strRef>
          </c:cat>
          <c:val>
            <c:numRef>
              <c:f>[3]GPI!$C$44:$J$44</c:f>
              <c:numCache>
                <c:formatCode>General</c:formatCode>
                <c:ptCount val="8"/>
                <c:pt idx="0">
                  <c:v>0.98</c:v>
                </c:pt>
                <c:pt idx="1">
                  <c:v>0.93</c:v>
                </c:pt>
                <c:pt idx="2">
                  <c:v>0.97</c:v>
                </c:pt>
                <c:pt idx="3">
                  <c:v>0.83</c:v>
                </c:pt>
                <c:pt idx="4">
                  <c:v>0.96</c:v>
                </c:pt>
                <c:pt idx="5">
                  <c:v>0.72</c:v>
                </c:pt>
                <c:pt idx="6">
                  <c:v>0.79</c:v>
                </c:pt>
                <c:pt idx="7">
                  <c:v>0.94</c:v>
                </c:pt>
              </c:numCache>
            </c:numRef>
          </c:val>
        </c:ser>
        <c:shape val="cylinder"/>
        <c:axId val="125590912"/>
        <c:axId val="125592704"/>
        <c:axId val="0"/>
      </c:bar3DChart>
      <c:catAx>
        <c:axId val="12559091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 sz="800" baseline="0"/>
            </a:pPr>
            <a:endParaRPr lang="en-US"/>
          </a:p>
        </c:txPr>
        <c:crossAx val="125592704"/>
        <c:crosses val="autoZero"/>
        <c:auto val="1"/>
        <c:lblAlgn val="ctr"/>
        <c:lblOffset val="100"/>
      </c:catAx>
      <c:valAx>
        <c:axId val="125592704"/>
        <c:scaling>
          <c:orientation val="minMax"/>
          <c:max val="1.1000000000000001"/>
          <c:min val="0"/>
        </c:scaling>
        <c:axPos val="l"/>
        <c:numFmt formatCode="0.0" sourceLinked="0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25590912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29537552615099688"/>
          <c:y val="3.1501038673483757E-2"/>
          <c:w val="0.2215398720597308"/>
          <c:h val="0.11426801507631452"/>
        </c:manualLayout>
      </c:layout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900"/>
            </a:pPr>
            <a:r>
              <a:rPr lang="en-US" sz="900" b="1" i="0" baseline="0"/>
              <a:t>Figure 10: Gender gap in drop out</a:t>
            </a:r>
            <a:endParaRPr lang="en-US" sz="900"/>
          </a:p>
        </c:rich>
      </c:tx>
      <c:layout>
        <c:manualLayout>
          <c:xMode val="edge"/>
          <c:yMode val="edge"/>
          <c:x val="7.5549125563084255E-2"/>
          <c:y val="0.83289472702168565"/>
        </c:manualLayout>
      </c:layout>
    </c:title>
    <c:view3D>
      <c:rotX val="0"/>
      <c:perspective val="30"/>
    </c:view3D>
    <c:plotArea>
      <c:layout>
        <c:manualLayout>
          <c:layoutTarget val="inner"/>
          <c:xMode val="edge"/>
          <c:yMode val="edge"/>
          <c:x val="8.4488407699037621E-2"/>
          <c:y val="7.9446631671042281E-2"/>
          <c:w val="0.88495603674540679"/>
          <c:h val="0.58962343248760563"/>
        </c:manualLayout>
      </c:layout>
      <c:bar3DChart>
        <c:barDir val="col"/>
        <c:grouping val="clustered"/>
        <c:ser>
          <c:idx val="0"/>
          <c:order val="0"/>
          <c:tx>
            <c:strRef>
              <c:f>DropOut!$D$44</c:f>
              <c:strCache>
                <c:ptCount val="1"/>
                <c:pt idx="0">
                  <c:v>Boys</c:v>
                </c:pt>
              </c:strCache>
            </c:strRef>
          </c:tx>
          <c:cat>
            <c:strRef>
              <c:f>DropOut!$C$45:$C$47</c:f>
              <c:strCache>
                <c:ptCount val="3"/>
                <c:pt idx="0">
                  <c:v>Classes I-V</c:v>
                </c:pt>
                <c:pt idx="1">
                  <c:v>Classes I-VIII</c:v>
                </c:pt>
                <c:pt idx="2">
                  <c:v>Classes I-X</c:v>
                </c:pt>
              </c:strCache>
            </c:strRef>
          </c:cat>
          <c:val>
            <c:numRef>
              <c:f>DropOut!$D$45:$D$47</c:f>
              <c:numCache>
                <c:formatCode>0.0</c:formatCode>
                <c:ptCount val="3"/>
                <c:pt idx="0">
                  <c:v>23.415444682151232</c:v>
                </c:pt>
                <c:pt idx="1">
                  <c:v>41.453043986003856</c:v>
                </c:pt>
                <c:pt idx="2">
                  <c:v>48.635977195512645</c:v>
                </c:pt>
              </c:numCache>
            </c:numRef>
          </c:val>
        </c:ser>
        <c:ser>
          <c:idx val="1"/>
          <c:order val="1"/>
          <c:tx>
            <c:strRef>
              <c:f>DropOut!$E$44</c:f>
              <c:strCache>
                <c:ptCount val="1"/>
                <c:pt idx="0">
                  <c:v>Girls</c:v>
                </c:pt>
              </c:strCache>
            </c:strRef>
          </c:tx>
          <c:cat>
            <c:strRef>
              <c:f>DropOut!$C$45:$C$47</c:f>
              <c:strCache>
                <c:ptCount val="3"/>
                <c:pt idx="0">
                  <c:v>Classes I-V</c:v>
                </c:pt>
                <c:pt idx="1">
                  <c:v>Classes I-VIII</c:v>
                </c:pt>
                <c:pt idx="2">
                  <c:v>Classes I-X</c:v>
                </c:pt>
              </c:strCache>
            </c:strRef>
          </c:cat>
          <c:val>
            <c:numRef>
              <c:f>DropOut!$E$45:$E$47</c:f>
              <c:numCache>
                <c:formatCode>0.0</c:formatCode>
                <c:ptCount val="3"/>
                <c:pt idx="0">
                  <c:v>20.954573849994507</c:v>
                </c:pt>
                <c:pt idx="1">
                  <c:v>40.030654672249689</c:v>
                </c:pt>
                <c:pt idx="2">
                  <c:v>52.161239540287404</c:v>
                </c:pt>
              </c:numCache>
            </c:numRef>
          </c:val>
        </c:ser>
        <c:shape val="cylinder"/>
        <c:axId val="129390848"/>
        <c:axId val="129392640"/>
        <c:axId val="0"/>
      </c:bar3DChart>
      <c:catAx>
        <c:axId val="12939084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29392640"/>
        <c:crosses val="autoZero"/>
        <c:auto val="1"/>
        <c:lblAlgn val="ctr"/>
        <c:lblOffset val="100"/>
      </c:catAx>
      <c:valAx>
        <c:axId val="129392640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293908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6610924073513229"/>
          <c:y val="6.9415730616612034E-2"/>
          <c:w val="0.26778122279214145"/>
          <c:h val="0.11426801507631452"/>
        </c:manualLayout>
      </c:layout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lang="en-IN" sz="900"/>
            </a:pPr>
            <a:r>
              <a:rPr lang="en-US" sz="900" b="1" i="0" baseline="0"/>
              <a:t>Figure 11: Drop out among various categories</a:t>
            </a:r>
          </a:p>
        </c:rich>
      </c:tx>
      <c:layout>
        <c:manualLayout>
          <c:xMode val="edge"/>
          <c:yMode val="edge"/>
          <c:x val="0.23291194369934698"/>
          <c:y val="0.86518518518518561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11141328487785182"/>
          <c:y val="9.5913677456984481E-2"/>
          <c:w val="0.84829367482911389"/>
          <c:h val="0.61679230096237969"/>
        </c:manualLayout>
      </c:layout>
      <c:bar3DChart>
        <c:barDir val="col"/>
        <c:grouping val="clustered"/>
        <c:ser>
          <c:idx val="0"/>
          <c:order val="0"/>
          <c:tx>
            <c:strRef>
              <c:f>DropOut!$C$45</c:f>
              <c:strCache>
                <c:ptCount val="1"/>
                <c:pt idx="0">
                  <c:v>Classes I-V</c:v>
                </c:pt>
              </c:strCache>
            </c:strRef>
          </c:tx>
          <c:cat>
            <c:strRef>
              <c:f>DropOut!$F$44:$H$44</c:f>
              <c:strCache>
                <c:ptCount val="3"/>
                <c:pt idx="0">
                  <c:v>Total</c:v>
                </c:pt>
                <c:pt idx="1">
                  <c:v>SC</c:v>
                </c:pt>
                <c:pt idx="2">
                  <c:v>ST</c:v>
                </c:pt>
              </c:strCache>
            </c:strRef>
          </c:cat>
          <c:val>
            <c:numRef>
              <c:f>DropOut!$F$45:$H$45</c:f>
              <c:numCache>
                <c:formatCode>0.0</c:formatCode>
                <c:ptCount val="3"/>
                <c:pt idx="0">
                  <c:v>22.261134222197597</c:v>
                </c:pt>
                <c:pt idx="1">
                  <c:v>23.470095496738196</c:v>
                </c:pt>
                <c:pt idx="2">
                  <c:v>35.299495776656379</c:v>
                </c:pt>
              </c:numCache>
            </c:numRef>
          </c:val>
        </c:ser>
        <c:ser>
          <c:idx val="1"/>
          <c:order val="1"/>
          <c:tx>
            <c:strRef>
              <c:f>DropOut!$C$46</c:f>
              <c:strCache>
                <c:ptCount val="1"/>
                <c:pt idx="0">
                  <c:v>Classes I-VIII</c:v>
                </c:pt>
              </c:strCache>
            </c:strRef>
          </c:tx>
          <c:cat>
            <c:strRef>
              <c:f>DropOut!$F$44:$H$44</c:f>
              <c:strCache>
                <c:ptCount val="3"/>
                <c:pt idx="0">
                  <c:v>Total</c:v>
                </c:pt>
                <c:pt idx="1">
                  <c:v>SC</c:v>
                </c:pt>
                <c:pt idx="2">
                  <c:v>ST</c:v>
                </c:pt>
              </c:strCache>
            </c:strRef>
          </c:cat>
          <c:val>
            <c:numRef>
              <c:f>DropOut!$F$46:$H$46</c:f>
              <c:numCache>
                <c:formatCode>0.0</c:formatCode>
                <c:ptCount val="3"/>
                <c:pt idx="0">
                  <c:v>40.793063072437278</c:v>
                </c:pt>
                <c:pt idx="1">
                  <c:v>40.196927254679679</c:v>
                </c:pt>
                <c:pt idx="2">
                  <c:v>57.242119244526826</c:v>
                </c:pt>
              </c:numCache>
            </c:numRef>
          </c:val>
        </c:ser>
        <c:ser>
          <c:idx val="2"/>
          <c:order val="2"/>
          <c:tx>
            <c:strRef>
              <c:f>DropOut!$C$47</c:f>
              <c:strCache>
                <c:ptCount val="1"/>
                <c:pt idx="0">
                  <c:v>Classes I-X</c:v>
                </c:pt>
              </c:strCache>
            </c:strRef>
          </c:tx>
          <c:cat>
            <c:strRef>
              <c:f>DropOut!$F$44:$H$44</c:f>
              <c:strCache>
                <c:ptCount val="3"/>
                <c:pt idx="0">
                  <c:v>Total</c:v>
                </c:pt>
                <c:pt idx="1">
                  <c:v>SC</c:v>
                </c:pt>
                <c:pt idx="2">
                  <c:v>ST</c:v>
                </c:pt>
              </c:strCache>
            </c:strRef>
          </c:cat>
          <c:val>
            <c:numRef>
              <c:f>DropOut!$F$47:$H$47</c:f>
              <c:numCache>
                <c:formatCode>0.0</c:formatCode>
                <c:ptCount val="3"/>
                <c:pt idx="0">
                  <c:v>50.308769535922295</c:v>
                </c:pt>
                <c:pt idx="1">
                  <c:v>55.311922755577591</c:v>
                </c:pt>
                <c:pt idx="2">
                  <c:v>65.949248406184523</c:v>
                </c:pt>
              </c:numCache>
            </c:numRef>
          </c:val>
        </c:ser>
        <c:shape val="cylinder"/>
        <c:axId val="129426944"/>
        <c:axId val="129428480"/>
        <c:axId val="0"/>
      </c:bar3DChart>
      <c:catAx>
        <c:axId val="12942694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29428480"/>
        <c:crosses val="autoZero"/>
        <c:auto val="1"/>
        <c:lblAlgn val="ctr"/>
        <c:lblOffset val="100"/>
      </c:catAx>
      <c:valAx>
        <c:axId val="129428480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29426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783825098785741"/>
          <c:y val="5.2092177798163594E-2"/>
          <c:w val="0.73816936344495399"/>
          <c:h val="7.8027673725250379E-2"/>
        </c:manualLayout>
      </c:layout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42</xdr:row>
      <xdr:rowOff>161925</xdr:rowOff>
    </xdr:from>
    <xdr:to>
      <xdr:col>14</xdr:col>
      <xdr:colOff>104774</xdr:colOff>
      <xdr:row>53</xdr:row>
      <xdr:rowOff>104776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276224</xdr:colOff>
      <xdr:row>42</xdr:row>
      <xdr:rowOff>171450</xdr:rowOff>
    </xdr:from>
    <xdr:to>
      <xdr:col>11</xdr:col>
      <xdr:colOff>266699</xdr:colOff>
      <xdr:row>53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44</xdr:row>
      <xdr:rowOff>161925</xdr:rowOff>
    </xdr:from>
    <xdr:to>
      <xdr:col>9</xdr:col>
      <xdr:colOff>400050</xdr:colOff>
      <xdr:row>54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45</xdr:row>
      <xdr:rowOff>19050</xdr:rowOff>
    </xdr:from>
    <xdr:to>
      <xdr:col>13</xdr:col>
      <xdr:colOff>161926</xdr:colOff>
      <xdr:row>55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428625</xdr:colOff>
      <xdr:row>43</xdr:row>
      <xdr:rowOff>47625</xdr:rowOff>
    </xdr:from>
    <xdr:to>
      <xdr:col>20</xdr:col>
      <xdr:colOff>295275</xdr:colOff>
      <xdr:row>53</xdr:row>
      <xdr:rowOff>190500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sers/MHRD/Downloads/SSE%202009-1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SE%202010-11(Final%20publication)/Tables(Including%20graph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%20stats/Desktop/Documents/SESFinal2009-10/SES2009-10-19-02-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sers/MHRD/Downloads/SSE%202009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Instt"/>
      <sheetName val="Instt-Man."/>
      <sheetName val="Cl Enr"/>
      <sheetName val="Cl Enr. sc"/>
      <sheetName val="Cl Enr. st"/>
      <sheetName val="ENRL OPEN SCH"/>
      <sheetName val=" TEACHER"/>
      <sheetName val="enrl teach trai sch"/>
      <sheetName val="Icds &amp; Pre-Pri"/>
      <sheetName val="Pre-Pri sc,st,rural"/>
      <sheetName val="enrl tech indus"/>
      <sheetName val="enrl egs aie"/>
      <sheetName val="ISCED"/>
      <sheetName val="GER"/>
      <sheetName val="GER SC"/>
      <sheetName val="GER ST"/>
      <sheetName val="GER Rural"/>
      <sheetName val="GENDER"/>
      <sheetName val="GENDER SC"/>
      <sheetName val="GENDER ST"/>
      <sheetName val="Gender Rural"/>
      <sheetName val="G PER 100 B"/>
      <sheetName val="G PER 100 B SC"/>
      <sheetName val="G PER 100 B ST"/>
      <sheetName val="G Per 100 B rural"/>
      <sheetName val="Drop "/>
      <sheetName val="Drop sc "/>
      <sheetName val="Drop st "/>
      <sheetName val="Pro.Pop (Gen)"/>
      <sheetName val="pro.Pop (SC)"/>
      <sheetName val="Pro.Pop (ST)"/>
      <sheetName val="rural population"/>
      <sheetName val="Sheet1"/>
    </sheetNames>
    <sheetDataSet>
      <sheetData sheetId="0" refreshError="1"/>
      <sheetData sheetId="1" refreshError="1"/>
      <sheetData sheetId="2">
        <row r="7">
          <cell r="X7">
            <v>3626594</v>
          </cell>
          <cell r="Y7">
            <v>3510697</v>
          </cell>
          <cell r="Z7">
            <v>7137291</v>
          </cell>
          <cell r="AJ7">
            <v>1842980</v>
          </cell>
          <cell r="AK7">
            <v>1775783</v>
          </cell>
          <cell r="AL7">
            <v>3618763</v>
          </cell>
          <cell r="AV7">
            <v>1111874</v>
          </cell>
          <cell r="AW7">
            <v>1059526</v>
          </cell>
          <cell r="AX7">
            <v>2171400</v>
          </cell>
          <cell r="AY7">
            <v>6581448</v>
          </cell>
          <cell r="AZ7">
            <v>6346006</v>
          </cell>
          <cell r="BA7">
            <v>12927454</v>
          </cell>
          <cell r="BH7">
            <v>813363</v>
          </cell>
          <cell r="BI7">
            <v>660550</v>
          </cell>
          <cell r="BJ7">
            <v>1473913</v>
          </cell>
          <cell r="BK7">
            <v>7394811</v>
          </cell>
          <cell r="BL7">
            <v>7006556</v>
          </cell>
          <cell r="BM7">
            <v>14401367</v>
          </cell>
        </row>
        <row r="8">
          <cell r="X8">
            <v>112473</v>
          </cell>
          <cell r="Y8">
            <v>104372</v>
          </cell>
          <cell r="Z8">
            <v>216845</v>
          </cell>
          <cell r="AJ8">
            <v>41397</v>
          </cell>
          <cell r="AK8">
            <v>37152</v>
          </cell>
          <cell r="AL8">
            <v>78549</v>
          </cell>
          <cell r="AV8">
            <v>18484</v>
          </cell>
          <cell r="AW8">
            <v>16027</v>
          </cell>
          <cell r="AX8">
            <v>34511</v>
          </cell>
          <cell r="AY8">
            <v>172354</v>
          </cell>
          <cell r="AZ8">
            <v>157551</v>
          </cell>
          <cell r="BA8">
            <v>329905</v>
          </cell>
          <cell r="BH8">
            <v>11218</v>
          </cell>
          <cell r="BI8">
            <v>9643</v>
          </cell>
          <cell r="BJ8">
            <v>20861</v>
          </cell>
          <cell r="BK8">
            <v>183572</v>
          </cell>
          <cell r="BL8">
            <v>167194</v>
          </cell>
          <cell r="BM8">
            <v>350766</v>
          </cell>
        </row>
        <row r="9">
          <cell r="X9">
            <v>1462640</v>
          </cell>
          <cell r="Y9">
            <v>1460074</v>
          </cell>
          <cell r="Z9">
            <v>2922714</v>
          </cell>
          <cell r="AJ9">
            <v>682371</v>
          </cell>
          <cell r="AK9">
            <v>691846</v>
          </cell>
          <cell r="AL9">
            <v>1374217</v>
          </cell>
          <cell r="AV9">
            <v>352415</v>
          </cell>
          <cell r="AW9">
            <v>304067</v>
          </cell>
          <cell r="AX9">
            <v>656482</v>
          </cell>
          <cell r="AY9">
            <v>2497426</v>
          </cell>
          <cell r="AZ9">
            <v>2455987</v>
          </cell>
          <cell r="BA9">
            <v>4953413</v>
          </cell>
          <cell r="BH9">
            <v>93212</v>
          </cell>
          <cell r="BI9">
            <v>81896</v>
          </cell>
          <cell r="BJ9">
            <v>175108</v>
          </cell>
          <cell r="BK9">
            <v>2590638</v>
          </cell>
          <cell r="BL9">
            <v>2537883</v>
          </cell>
          <cell r="BM9">
            <v>5128521</v>
          </cell>
        </row>
        <row r="10">
          <cell r="X10">
            <v>7756205</v>
          </cell>
          <cell r="Y10">
            <v>6151593</v>
          </cell>
          <cell r="Z10">
            <v>13907798</v>
          </cell>
          <cell r="AJ10">
            <v>2341538</v>
          </cell>
          <cell r="AK10">
            <v>1785127</v>
          </cell>
          <cell r="AL10">
            <v>4126665</v>
          </cell>
          <cell r="AV10">
            <v>998290</v>
          </cell>
          <cell r="AW10">
            <v>683917</v>
          </cell>
          <cell r="AX10">
            <v>1682207</v>
          </cell>
          <cell r="AY10">
            <v>11096033</v>
          </cell>
          <cell r="AZ10">
            <v>8620637</v>
          </cell>
          <cell r="BA10">
            <v>19716670</v>
          </cell>
          <cell r="BH10">
            <v>428971</v>
          </cell>
          <cell r="BI10">
            <v>292598</v>
          </cell>
          <cell r="BJ10">
            <v>721569</v>
          </cell>
          <cell r="BK10">
            <v>11525004</v>
          </cell>
          <cell r="BL10">
            <v>8913235</v>
          </cell>
          <cell r="BM10">
            <v>20438239</v>
          </cell>
        </row>
        <row r="11">
          <cell r="X11">
            <v>1678226</v>
          </cell>
          <cell r="Y11">
            <v>1556684</v>
          </cell>
          <cell r="Z11">
            <v>3234910</v>
          </cell>
          <cell r="AJ11">
            <v>699921</v>
          </cell>
          <cell r="AK11">
            <v>637035</v>
          </cell>
          <cell r="AL11">
            <v>1336956</v>
          </cell>
          <cell r="AV11">
            <v>294062</v>
          </cell>
          <cell r="AW11">
            <v>242949</v>
          </cell>
          <cell r="AX11">
            <v>537011</v>
          </cell>
          <cell r="AY11">
            <v>2672209</v>
          </cell>
          <cell r="AZ11">
            <v>2436668</v>
          </cell>
          <cell r="BA11">
            <v>5108877</v>
          </cell>
          <cell r="BH11">
            <v>173556</v>
          </cell>
          <cell r="BI11">
            <v>129440</v>
          </cell>
          <cell r="BJ11">
            <v>302996</v>
          </cell>
          <cell r="BK11">
            <v>2845765</v>
          </cell>
          <cell r="BL11">
            <v>2566108</v>
          </cell>
          <cell r="BM11">
            <v>5411873</v>
          </cell>
        </row>
        <row r="12">
          <cell r="X12">
            <v>66969</v>
          </cell>
          <cell r="Y12">
            <v>60312</v>
          </cell>
          <cell r="Z12">
            <v>127281</v>
          </cell>
          <cell r="AJ12">
            <v>36024</v>
          </cell>
          <cell r="AK12">
            <v>31163</v>
          </cell>
          <cell r="AL12">
            <v>67187</v>
          </cell>
          <cell r="AV12">
            <v>19033</v>
          </cell>
          <cell r="AW12">
            <v>17943</v>
          </cell>
          <cell r="AX12">
            <v>36976</v>
          </cell>
          <cell r="AY12">
            <v>122026</v>
          </cell>
          <cell r="AZ12">
            <v>109418</v>
          </cell>
          <cell r="BA12">
            <v>231444</v>
          </cell>
          <cell r="BH12">
            <v>13659</v>
          </cell>
          <cell r="BI12">
            <v>13829</v>
          </cell>
          <cell r="BJ12">
            <v>27488</v>
          </cell>
          <cell r="BK12">
            <v>135685</v>
          </cell>
          <cell r="BL12">
            <v>123247</v>
          </cell>
          <cell r="BM12">
            <v>258932</v>
          </cell>
        </row>
        <row r="13">
          <cell r="X13">
            <v>3515393</v>
          </cell>
          <cell r="Y13">
            <v>3066746</v>
          </cell>
          <cell r="Z13">
            <v>6582139</v>
          </cell>
          <cell r="AJ13">
            <v>1599409</v>
          </cell>
          <cell r="AK13">
            <v>1291357</v>
          </cell>
          <cell r="AL13">
            <v>2890766</v>
          </cell>
          <cell r="AV13">
            <v>804921</v>
          </cell>
          <cell r="AW13">
            <v>554811</v>
          </cell>
          <cell r="AX13">
            <v>1359732</v>
          </cell>
          <cell r="AY13">
            <v>5919723</v>
          </cell>
          <cell r="AZ13">
            <v>4912914</v>
          </cell>
          <cell r="BA13">
            <v>10832637</v>
          </cell>
          <cell r="BH13">
            <v>464256</v>
          </cell>
          <cell r="BI13">
            <v>349497</v>
          </cell>
          <cell r="BJ13">
            <v>813753</v>
          </cell>
          <cell r="BK13">
            <v>6383979</v>
          </cell>
          <cell r="BL13">
            <v>5262411</v>
          </cell>
          <cell r="BM13">
            <v>11646390</v>
          </cell>
        </row>
        <row r="14">
          <cell r="X14">
            <v>1183564</v>
          </cell>
          <cell r="Y14">
            <v>1002815</v>
          </cell>
          <cell r="Z14">
            <v>2186379</v>
          </cell>
          <cell r="AJ14">
            <v>630566</v>
          </cell>
          <cell r="AK14">
            <v>559497</v>
          </cell>
          <cell r="AL14">
            <v>1190063</v>
          </cell>
          <cell r="AV14">
            <v>335644</v>
          </cell>
          <cell r="AW14">
            <v>338488</v>
          </cell>
          <cell r="AX14">
            <v>674132</v>
          </cell>
          <cell r="AY14">
            <v>2149774</v>
          </cell>
          <cell r="AZ14">
            <v>1900800</v>
          </cell>
          <cell r="BA14">
            <v>4050574</v>
          </cell>
          <cell r="BH14">
            <v>338641</v>
          </cell>
          <cell r="BI14">
            <v>290724</v>
          </cell>
          <cell r="BJ14">
            <v>629365</v>
          </cell>
          <cell r="BK14">
            <v>2488415</v>
          </cell>
          <cell r="BL14">
            <v>2191524</v>
          </cell>
          <cell r="BM14">
            <v>4679939</v>
          </cell>
        </row>
        <row r="15">
          <cell r="X15">
            <v>327272</v>
          </cell>
          <cell r="Y15">
            <v>295926</v>
          </cell>
          <cell r="Z15">
            <v>623198</v>
          </cell>
          <cell r="AJ15">
            <v>217996</v>
          </cell>
          <cell r="AK15">
            <v>194923</v>
          </cell>
          <cell r="AL15">
            <v>412919</v>
          </cell>
          <cell r="AV15">
            <v>111879</v>
          </cell>
          <cell r="AW15">
            <v>111346</v>
          </cell>
          <cell r="AX15">
            <v>223225</v>
          </cell>
          <cell r="AY15">
            <v>657147</v>
          </cell>
          <cell r="AZ15">
            <v>602195</v>
          </cell>
          <cell r="BA15">
            <v>1259342</v>
          </cell>
          <cell r="BH15">
            <v>91220</v>
          </cell>
          <cell r="BI15">
            <v>86604</v>
          </cell>
          <cell r="BJ15">
            <v>177824</v>
          </cell>
          <cell r="BK15">
            <v>748367</v>
          </cell>
          <cell r="BL15">
            <v>688799</v>
          </cell>
          <cell r="BM15">
            <v>1437166</v>
          </cell>
        </row>
        <row r="16">
          <cell r="X16">
            <v>662907</v>
          </cell>
          <cell r="Y16">
            <v>611967</v>
          </cell>
          <cell r="Z16">
            <v>1274874</v>
          </cell>
          <cell r="AJ16">
            <v>348641</v>
          </cell>
          <cell r="AK16">
            <v>306791</v>
          </cell>
          <cell r="AL16">
            <v>655432</v>
          </cell>
          <cell r="AV16">
            <v>172248</v>
          </cell>
          <cell r="AW16">
            <v>148761</v>
          </cell>
          <cell r="AX16">
            <v>321009</v>
          </cell>
          <cell r="AY16">
            <v>1183796</v>
          </cell>
          <cell r="AZ16">
            <v>1067519</v>
          </cell>
          <cell r="BA16">
            <v>2251315</v>
          </cell>
          <cell r="BH16">
            <v>116332</v>
          </cell>
          <cell r="BI16">
            <v>101926</v>
          </cell>
          <cell r="BJ16">
            <v>218258</v>
          </cell>
          <cell r="BK16">
            <v>1300128</v>
          </cell>
          <cell r="BL16">
            <v>1169445</v>
          </cell>
          <cell r="BM16">
            <v>2469573</v>
          </cell>
        </row>
        <row r="17">
          <cell r="X17">
            <v>2785633</v>
          </cell>
          <cell r="Y17">
            <v>2678635</v>
          </cell>
          <cell r="Z17">
            <v>5464268</v>
          </cell>
          <cell r="AJ17">
            <v>805909</v>
          </cell>
          <cell r="AK17">
            <v>543814</v>
          </cell>
          <cell r="AL17">
            <v>1349723</v>
          </cell>
          <cell r="AV17">
            <v>248056</v>
          </cell>
          <cell r="AW17">
            <v>171059</v>
          </cell>
          <cell r="AX17">
            <v>419115</v>
          </cell>
          <cell r="AY17">
            <v>3839598</v>
          </cell>
          <cell r="AZ17">
            <v>3393508</v>
          </cell>
          <cell r="BA17">
            <v>7233106</v>
          </cell>
          <cell r="BH17">
            <v>55408</v>
          </cell>
          <cell r="BI17">
            <v>39539</v>
          </cell>
          <cell r="BJ17">
            <v>94947</v>
          </cell>
          <cell r="BK17">
            <v>3895006</v>
          </cell>
          <cell r="BL17">
            <v>3433047</v>
          </cell>
          <cell r="BM17">
            <v>7328053</v>
          </cell>
        </row>
        <row r="18">
          <cell r="X18">
            <v>2820488</v>
          </cell>
          <cell r="Y18">
            <v>2639555</v>
          </cell>
          <cell r="Z18">
            <v>5460043</v>
          </cell>
          <cell r="AJ18">
            <v>1528585</v>
          </cell>
          <cell r="AK18">
            <v>1416574</v>
          </cell>
          <cell r="AL18">
            <v>2945159</v>
          </cell>
          <cell r="AV18">
            <v>845972</v>
          </cell>
          <cell r="AW18">
            <v>783919</v>
          </cell>
          <cell r="AX18">
            <v>1629891</v>
          </cell>
          <cell r="AY18">
            <v>5195045</v>
          </cell>
          <cell r="AZ18">
            <v>4840048</v>
          </cell>
          <cell r="BA18">
            <v>10035093</v>
          </cell>
          <cell r="BH18">
            <v>496916</v>
          </cell>
          <cell r="BI18">
            <v>490729</v>
          </cell>
          <cell r="BJ18">
            <v>987645</v>
          </cell>
          <cell r="BK18">
            <v>5691961</v>
          </cell>
          <cell r="BL18">
            <v>5330777</v>
          </cell>
          <cell r="BM18">
            <v>11022738</v>
          </cell>
        </row>
        <row r="19">
          <cell r="X19">
            <v>1235286</v>
          </cell>
          <cell r="Y19">
            <v>1189792</v>
          </cell>
          <cell r="Z19">
            <v>2425078</v>
          </cell>
          <cell r="AJ19">
            <v>854766</v>
          </cell>
          <cell r="AK19">
            <v>798260</v>
          </cell>
          <cell r="AL19">
            <v>1653026</v>
          </cell>
          <cell r="AV19">
            <v>526033</v>
          </cell>
          <cell r="AW19">
            <v>509104</v>
          </cell>
          <cell r="AX19">
            <v>1035137</v>
          </cell>
          <cell r="AY19">
            <v>2616085</v>
          </cell>
          <cell r="AZ19">
            <v>2497156</v>
          </cell>
          <cell r="BA19">
            <v>5113241</v>
          </cell>
          <cell r="BH19">
            <v>245423</v>
          </cell>
          <cell r="BI19">
            <v>292804</v>
          </cell>
          <cell r="BJ19">
            <v>538227</v>
          </cell>
          <cell r="BK19">
            <v>2861508</v>
          </cell>
          <cell r="BL19">
            <v>2789960</v>
          </cell>
          <cell r="BM19">
            <v>5651468</v>
          </cell>
        </row>
        <row r="20">
          <cell r="X20">
            <v>5556630</v>
          </cell>
          <cell r="Y20">
            <v>5151941</v>
          </cell>
          <cell r="Z20">
            <v>10708571</v>
          </cell>
          <cell r="AJ20">
            <v>2555860</v>
          </cell>
          <cell r="AK20">
            <v>2306009</v>
          </cell>
          <cell r="AL20">
            <v>4861869</v>
          </cell>
          <cell r="AV20">
            <v>1214916</v>
          </cell>
          <cell r="AW20">
            <v>751735</v>
          </cell>
          <cell r="AX20">
            <v>1966651</v>
          </cell>
          <cell r="AY20">
            <v>9327406</v>
          </cell>
          <cell r="AZ20">
            <v>8209685</v>
          </cell>
          <cell r="BA20">
            <v>17537091</v>
          </cell>
          <cell r="BH20">
            <v>755843</v>
          </cell>
          <cell r="BI20">
            <v>455191</v>
          </cell>
          <cell r="BJ20">
            <v>1211034</v>
          </cell>
          <cell r="BK20">
            <v>10083249</v>
          </cell>
          <cell r="BL20">
            <v>8664876</v>
          </cell>
          <cell r="BM20">
            <v>18748125</v>
          </cell>
        </row>
        <row r="21">
          <cell r="X21">
            <v>5484159</v>
          </cell>
          <cell r="Y21">
            <v>4880672</v>
          </cell>
          <cell r="Z21">
            <v>10364831</v>
          </cell>
          <cell r="AJ21">
            <v>2931620</v>
          </cell>
          <cell r="AK21">
            <v>2585409</v>
          </cell>
          <cell r="AL21">
            <v>5517029</v>
          </cell>
          <cell r="AV21">
            <v>1657513</v>
          </cell>
          <cell r="AW21">
            <v>1395101</v>
          </cell>
          <cell r="AX21">
            <v>3052614</v>
          </cell>
          <cell r="AY21">
            <v>10073292</v>
          </cell>
          <cell r="AZ21">
            <v>8861182</v>
          </cell>
          <cell r="BA21">
            <v>18934474</v>
          </cell>
          <cell r="BH21">
            <v>1329909</v>
          </cell>
          <cell r="BI21">
            <v>1027067</v>
          </cell>
          <cell r="BJ21">
            <v>2356976</v>
          </cell>
          <cell r="BK21">
            <v>11403201</v>
          </cell>
          <cell r="BL21">
            <v>9888249</v>
          </cell>
          <cell r="BM21">
            <v>21291450</v>
          </cell>
        </row>
        <row r="22">
          <cell r="X22">
            <v>192153</v>
          </cell>
          <cell r="Y22">
            <v>179506</v>
          </cell>
          <cell r="Z22">
            <v>371659</v>
          </cell>
          <cell r="AJ22">
            <v>77081</v>
          </cell>
          <cell r="AK22">
            <v>69478</v>
          </cell>
          <cell r="AL22">
            <v>146559</v>
          </cell>
          <cell r="AV22">
            <v>40400</v>
          </cell>
          <cell r="AW22">
            <v>40196</v>
          </cell>
          <cell r="AX22">
            <v>80596</v>
          </cell>
          <cell r="AY22">
            <v>309634</v>
          </cell>
          <cell r="AZ22">
            <v>289180</v>
          </cell>
          <cell r="BA22">
            <v>598814</v>
          </cell>
          <cell r="BH22">
            <v>18160</v>
          </cell>
          <cell r="BI22">
            <v>13973</v>
          </cell>
          <cell r="BJ22">
            <v>32133</v>
          </cell>
          <cell r="BK22">
            <v>327794</v>
          </cell>
          <cell r="BL22">
            <v>303153</v>
          </cell>
          <cell r="BM22">
            <v>630947</v>
          </cell>
        </row>
        <row r="23">
          <cell r="X23">
            <v>254955</v>
          </cell>
          <cell r="Y23">
            <v>253343</v>
          </cell>
          <cell r="Z23">
            <v>508298</v>
          </cell>
          <cell r="AJ23">
            <v>75625</v>
          </cell>
          <cell r="AK23">
            <v>82842</v>
          </cell>
          <cell r="AL23">
            <v>158467</v>
          </cell>
          <cell r="AV23">
            <v>26364</v>
          </cell>
          <cell r="AW23">
            <v>29042</v>
          </cell>
          <cell r="AX23">
            <v>55406</v>
          </cell>
          <cell r="AY23">
            <v>356944</v>
          </cell>
          <cell r="AZ23">
            <v>365227</v>
          </cell>
          <cell r="BA23">
            <v>722171</v>
          </cell>
          <cell r="BH23">
            <v>8021</v>
          </cell>
          <cell r="BI23">
            <v>9963</v>
          </cell>
          <cell r="BJ23">
            <v>17984</v>
          </cell>
          <cell r="BK23">
            <v>364965</v>
          </cell>
          <cell r="BL23">
            <v>375190</v>
          </cell>
          <cell r="BM23">
            <v>740155</v>
          </cell>
        </row>
        <row r="24">
          <cell r="X24">
            <v>74443</v>
          </cell>
          <cell r="Y24">
            <v>67704</v>
          </cell>
          <cell r="Z24">
            <v>142147</v>
          </cell>
          <cell r="AJ24">
            <v>31991</v>
          </cell>
          <cell r="AK24">
            <v>29684</v>
          </cell>
          <cell r="AL24">
            <v>61675</v>
          </cell>
          <cell r="AV24">
            <v>15189</v>
          </cell>
          <cell r="AW24">
            <v>15232</v>
          </cell>
          <cell r="AX24">
            <v>30421</v>
          </cell>
          <cell r="AY24">
            <v>121623</v>
          </cell>
          <cell r="AZ24">
            <v>112620</v>
          </cell>
          <cell r="BA24">
            <v>234243</v>
          </cell>
          <cell r="BH24">
            <v>8661</v>
          </cell>
          <cell r="BI24">
            <v>8388</v>
          </cell>
          <cell r="BJ24">
            <v>17049</v>
          </cell>
          <cell r="BK24">
            <v>130284</v>
          </cell>
          <cell r="BL24">
            <v>121008</v>
          </cell>
          <cell r="BM24">
            <v>251292</v>
          </cell>
        </row>
        <row r="25">
          <cell r="X25">
            <v>113801</v>
          </cell>
          <cell r="Y25">
            <v>106003</v>
          </cell>
          <cell r="Z25">
            <v>219804</v>
          </cell>
          <cell r="AJ25">
            <v>46104</v>
          </cell>
          <cell r="AK25">
            <v>44122</v>
          </cell>
          <cell r="AL25">
            <v>90226</v>
          </cell>
          <cell r="AV25">
            <v>16073</v>
          </cell>
          <cell r="AW25">
            <v>15927</v>
          </cell>
          <cell r="AX25">
            <v>32000</v>
          </cell>
          <cell r="AY25">
            <v>175978</v>
          </cell>
          <cell r="AZ25">
            <v>166052</v>
          </cell>
          <cell r="BA25">
            <v>342030</v>
          </cell>
          <cell r="BH25">
            <v>11175</v>
          </cell>
          <cell r="BI25">
            <v>9459</v>
          </cell>
          <cell r="BJ25">
            <v>20634</v>
          </cell>
          <cell r="BK25">
            <v>187153</v>
          </cell>
          <cell r="BL25">
            <v>175511</v>
          </cell>
          <cell r="BM25">
            <v>362664</v>
          </cell>
        </row>
        <row r="26">
          <cell r="X26">
            <v>2308957</v>
          </cell>
          <cell r="Y26">
            <v>2184342</v>
          </cell>
          <cell r="Z26">
            <v>4493299</v>
          </cell>
          <cell r="AJ26">
            <v>1054038</v>
          </cell>
          <cell r="AK26">
            <v>966858</v>
          </cell>
          <cell r="AL26">
            <v>2020896</v>
          </cell>
          <cell r="AV26">
            <v>483478</v>
          </cell>
          <cell r="AW26">
            <v>425478</v>
          </cell>
          <cell r="AX26">
            <v>908956</v>
          </cell>
          <cell r="AY26">
            <v>3846473</v>
          </cell>
          <cell r="AZ26">
            <v>3576678</v>
          </cell>
          <cell r="BA26">
            <v>7423151</v>
          </cell>
          <cell r="BH26">
            <v>212403</v>
          </cell>
          <cell r="BI26">
            <v>166833</v>
          </cell>
          <cell r="BJ26">
            <v>379236</v>
          </cell>
          <cell r="BK26">
            <v>4058876</v>
          </cell>
          <cell r="BL26">
            <v>3743511</v>
          </cell>
          <cell r="BM26">
            <v>7802387</v>
          </cell>
        </row>
        <row r="27">
          <cell r="X27">
            <v>1394959</v>
          </cell>
          <cell r="Y27">
            <v>1108880</v>
          </cell>
          <cell r="Z27">
            <v>2503839</v>
          </cell>
          <cell r="AJ27">
            <v>743764</v>
          </cell>
          <cell r="AK27">
            <v>588276</v>
          </cell>
          <cell r="AL27">
            <v>1332040</v>
          </cell>
          <cell r="AV27">
            <v>298787</v>
          </cell>
          <cell r="AW27">
            <v>260396</v>
          </cell>
          <cell r="AX27">
            <v>559183</v>
          </cell>
          <cell r="AY27">
            <v>2437510</v>
          </cell>
          <cell r="AZ27">
            <v>1957552</v>
          </cell>
          <cell r="BA27">
            <v>4395062</v>
          </cell>
          <cell r="BH27">
            <v>241890</v>
          </cell>
          <cell r="BI27">
            <v>216668</v>
          </cell>
          <cell r="BJ27">
            <v>458558</v>
          </cell>
          <cell r="BK27">
            <v>2679400</v>
          </cell>
          <cell r="BL27">
            <v>2174220</v>
          </cell>
          <cell r="BM27">
            <v>4853620</v>
          </cell>
        </row>
        <row r="28">
          <cell r="X28">
            <v>4727309</v>
          </cell>
          <cell r="Y28">
            <v>4071647</v>
          </cell>
          <cell r="Z28">
            <v>8798956</v>
          </cell>
          <cell r="AJ28">
            <v>2308038</v>
          </cell>
          <cell r="AK28">
            <v>1620005</v>
          </cell>
          <cell r="AL28">
            <v>3928043</v>
          </cell>
          <cell r="AV28">
            <v>1104029</v>
          </cell>
          <cell r="AW28">
            <v>654915</v>
          </cell>
          <cell r="AX28">
            <v>1758944</v>
          </cell>
          <cell r="AY28">
            <v>8139376</v>
          </cell>
          <cell r="AZ28">
            <v>6346567</v>
          </cell>
          <cell r="BA28">
            <v>14485943</v>
          </cell>
          <cell r="BH28">
            <v>679765</v>
          </cell>
          <cell r="BI28">
            <v>374922</v>
          </cell>
          <cell r="BJ28">
            <v>1054687</v>
          </cell>
          <cell r="BK28">
            <v>8819141</v>
          </cell>
          <cell r="BL28">
            <v>6721489</v>
          </cell>
          <cell r="BM28">
            <v>15540630</v>
          </cell>
        </row>
        <row r="29">
          <cell r="X29">
            <v>41364</v>
          </cell>
          <cell r="Y29">
            <v>39808</v>
          </cell>
          <cell r="Z29">
            <v>81172</v>
          </cell>
          <cell r="AJ29">
            <v>15150</v>
          </cell>
          <cell r="AK29">
            <v>18025</v>
          </cell>
          <cell r="AL29">
            <v>33175</v>
          </cell>
          <cell r="AV29">
            <v>5883</v>
          </cell>
          <cell r="AW29">
            <v>6706</v>
          </cell>
          <cell r="AX29">
            <v>12589</v>
          </cell>
          <cell r="AY29">
            <v>62397</v>
          </cell>
          <cell r="AZ29">
            <v>64539</v>
          </cell>
          <cell r="BA29">
            <v>126936</v>
          </cell>
          <cell r="BH29">
            <v>4077</v>
          </cell>
          <cell r="BI29">
            <v>4339</v>
          </cell>
          <cell r="BJ29">
            <v>8416</v>
          </cell>
          <cell r="BK29">
            <v>66474</v>
          </cell>
          <cell r="BL29">
            <v>68878</v>
          </cell>
          <cell r="BM29">
            <v>135352</v>
          </cell>
        </row>
        <row r="30">
          <cell r="X30">
            <v>3190190</v>
          </cell>
          <cell r="Y30">
            <v>3010266</v>
          </cell>
          <cell r="Z30">
            <v>6200456</v>
          </cell>
          <cell r="AJ30">
            <v>1935096</v>
          </cell>
          <cell r="AK30">
            <v>1800072</v>
          </cell>
          <cell r="AL30">
            <v>3735168</v>
          </cell>
          <cell r="AV30">
            <v>943659</v>
          </cell>
          <cell r="AW30">
            <v>932535</v>
          </cell>
          <cell r="AX30">
            <v>1876194</v>
          </cell>
          <cell r="AY30">
            <v>6068945</v>
          </cell>
          <cell r="AZ30">
            <v>5742873</v>
          </cell>
          <cell r="BA30">
            <v>11811818</v>
          </cell>
          <cell r="BH30">
            <v>540980</v>
          </cell>
          <cell r="BI30">
            <v>627458</v>
          </cell>
          <cell r="BJ30">
            <v>1168438</v>
          </cell>
          <cell r="BK30">
            <v>6609925</v>
          </cell>
          <cell r="BL30">
            <v>6370331</v>
          </cell>
          <cell r="BM30">
            <v>12980256</v>
          </cell>
        </row>
        <row r="31">
          <cell r="X31">
            <v>228125</v>
          </cell>
          <cell r="Y31">
            <v>216391</v>
          </cell>
          <cell r="Z31">
            <v>444516</v>
          </cell>
          <cell r="AJ31">
            <v>111489</v>
          </cell>
          <cell r="AK31">
            <v>107814</v>
          </cell>
          <cell r="AL31">
            <v>219303</v>
          </cell>
          <cell r="AV31">
            <v>54693</v>
          </cell>
          <cell r="AW31">
            <v>52148</v>
          </cell>
          <cell r="AX31">
            <v>106841</v>
          </cell>
          <cell r="AY31">
            <v>394307</v>
          </cell>
          <cell r="AZ31">
            <v>376353</v>
          </cell>
          <cell r="BA31">
            <v>770660</v>
          </cell>
          <cell r="BH31">
            <v>23306</v>
          </cell>
          <cell r="BI31">
            <v>17433</v>
          </cell>
          <cell r="BJ31">
            <v>40739</v>
          </cell>
          <cell r="BK31">
            <v>417613</v>
          </cell>
          <cell r="BL31">
            <v>393786</v>
          </cell>
          <cell r="BM31">
            <v>811399</v>
          </cell>
        </row>
        <row r="32">
          <cell r="X32">
            <v>12779554</v>
          </cell>
          <cell r="Y32">
            <v>12294351</v>
          </cell>
          <cell r="Z32">
            <v>25073905</v>
          </cell>
          <cell r="AJ32">
            <v>5219366</v>
          </cell>
          <cell r="AK32">
            <v>4280860</v>
          </cell>
          <cell r="AL32">
            <v>9500226</v>
          </cell>
          <cell r="AV32">
            <v>3715957</v>
          </cell>
          <cell r="AW32">
            <v>2740599</v>
          </cell>
          <cell r="AX32">
            <v>6456556</v>
          </cell>
          <cell r="AY32">
            <v>21714877</v>
          </cell>
          <cell r="AZ32">
            <v>19315810</v>
          </cell>
          <cell r="BA32">
            <v>41030687</v>
          </cell>
          <cell r="BH32">
            <v>1719258</v>
          </cell>
          <cell r="BI32">
            <v>1293074</v>
          </cell>
          <cell r="BJ32">
            <v>3012332</v>
          </cell>
          <cell r="BK32">
            <v>23434135</v>
          </cell>
          <cell r="BL32">
            <v>20608884</v>
          </cell>
          <cell r="BM32">
            <v>44043019</v>
          </cell>
        </row>
        <row r="33">
          <cell r="X33">
            <v>567922</v>
          </cell>
          <cell r="Y33">
            <v>532217</v>
          </cell>
          <cell r="Z33">
            <v>1100139</v>
          </cell>
          <cell r="AJ33">
            <v>316359</v>
          </cell>
          <cell r="AK33">
            <v>309857</v>
          </cell>
          <cell r="AL33">
            <v>626216</v>
          </cell>
          <cell r="AV33">
            <v>186071</v>
          </cell>
          <cell r="AW33">
            <v>157009</v>
          </cell>
          <cell r="AX33">
            <v>343080</v>
          </cell>
          <cell r="AY33">
            <v>1070352</v>
          </cell>
          <cell r="AZ33">
            <v>999083</v>
          </cell>
          <cell r="BA33">
            <v>2069435</v>
          </cell>
          <cell r="BH33">
            <v>125510</v>
          </cell>
          <cell r="BI33">
            <v>108799</v>
          </cell>
          <cell r="BJ33">
            <v>234309</v>
          </cell>
          <cell r="BK33">
            <v>1195862</v>
          </cell>
          <cell r="BL33">
            <v>1107882</v>
          </cell>
          <cell r="BM33">
            <v>2303744</v>
          </cell>
        </row>
        <row r="34">
          <cell r="X34">
            <v>5087639</v>
          </cell>
          <cell r="Y34">
            <v>4978465</v>
          </cell>
          <cell r="Z34">
            <v>10066104</v>
          </cell>
          <cell r="AJ34">
            <v>2145368</v>
          </cell>
          <cell r="AK34">
            <v>2262454</v>
          </cell>
          <cell r="AL34">
            <v>4407822</v>
          </cell>
          <cell r="AV34">
            <v>965613</v>
          </cell>
          <cell r="AW34">
            <v>1000009</v>
          </cell>
          <cell r="AX34">
            <v>1965622</v>
          </cell>
          <cell r="AY34">
            <v>8198620</v>
          </cell>
          <cell r="AZ34">
            <v>8240928</v>
          </cell>
          <cell r="BA34">
            <v>16439548</v>
          </cell>
          <cell r="BH34">
            <v>570348</v>
          </cell>
          <cell r="BI34">
            <v>444996</v>
          </cell>
          <cell r="BJ34">
            <v>1015344</v>
          </cell>
          <cell r="BK34">
            <v>8768968</v>
          </cell>
          <cell r="BL34">
            <v>8685924</v>
          </cell>
          <cell r="BM34">
            <v>17454892</v>
          </cell>
        </row>
        <row r="35">
          <cell r="X35">
            <v>17553</v>
          </cell>
          <cell r="Y35">
            <v>16689</v>
          </cell>
          <cell r="Z35">
            <v>34242</v>
          </cell>
          <cell r="AJ35">
            <v>11618</v>
          </cell>
          <cell r="AK35">
            <v>10705</v>
          </cell>
          <cell r="AL35">
            <v>22323</v>
          </cell>
          <cell r="AV35">
            <v>6587</v>
          </cell>
          <cell r="AW35">
            <v>6112</v>
          </cell>
          <cell r="AX35">
            <v>12699</v>
          </cell>
          <cell r="AY35">
            <v>35758</v>
          </cell>
          <cell r="AZ35">
            <v>33506</v>
          </cell>
          <cell r="BA35">
            <v>69264</v>
          </cell>
          <cell r="BH35">
            <v>4317</v>
          </cell>
          <cell r="BI35">
            <v>4427</v>
          </cell>
          <cell r="BJ35">
            <v>8744</v>
          </cell>
          <cell r="BK35">
            <v>40075</v>
          </cell>
          <cell r="BL35">
            <v>37933</v>
          </cell>
          <cell r="BM35">
            <v>78008</v>
          </cell>
        </row>
        <row r="36">
          <cell r="X36">
            <v>45407</v>
          </cell>
          <cell r="Y36">
            <v>38352</v>
          </cell>
          <cell r="Z36">
            <v>83759</v>
          </cell>
          <cell r="AJ36">
            <v>27320</v>
          </cell>
          <cell r="AK36">
            <v>21839</v>
          </cell>
          <cell r="AL36">
            <v>49159</v>
          </cell>
          <cell r="AV36">
            <v>14690</v>
          </cell>
          <cell r="AW36">
            <v>11946</v>
          </cell>
          <cell r="AX36">
            <v>26636</v>
          </cell>
          <cell r="AY36">
            <v>87417</v>
          </cell>
          <cell r="AZ36">
            <v>72137</v>
          </cell>
          <cell r="BA36">
            <v>159554</v>
          </cell>
          <cell r="BH36">
            <v>15426</v>
          </cell>
          <cell r="BI36">
            <v>12462</v>
          </cell>
          <cell r="BJ36">
            <v>27888</v>
          </cell>
          <cell r="BK36">
            <v>102843</v>
          </cell>
          <cell r="BL36">
            <v>84599</v>
          </cell>
          <cell r="BM36">
            <v>187442</v>
          </cell>
        </row>
        <row r="37">
          <cell r="X37">
            <v>20739</v>
          </cell>
          <cell r="Y37">
            <v>19041</v>
          </cell>
          <cell r="Z37">
            <v>39780</v>
          </cell>
          <cell r="AJ37">
            <v>10007</v>
          </cell>
          <cell r="AK37">
            <v>7730</v>
          </cell>
          <cell r="AL37">
            <v>17737</v>
          </cell>
          <cell r="AV37">
            <v>3950</v>
          </cell>
          <cell r="AW37">
            <v>2798</v>
          </cell>
          <cell r="AX37">
            <v>6748</v>
          </cell>
          <cell r="AY37">
            <v>34696</v>
          </cell>
          <cell r="AZ37">
            <v>29569</v>
          </cell>
          <cell r="BA37">
            <v>64265</v>
          </cell>
          <cell r="BH37">
            <v>1750</v>
          </cell>
          <cell r="BI37">
            <v>1249</v>
          </cell>
          <cell r="BJ37">
            <v>2999</v>
          </cell>
          <cell r="BK37">
            <v>36446</v>
          </cell>
          <cell r="BL37">
            <v>30818</v>
          </cell>
          <cell r="BM37">
            <v>67264</v>
          </cell>
        </row>
        <row r="38">
          <cell r="X38">
            <v>9637</v>
          </cell>
          <cell r="Y38">
            <v>8192</v>
          </cell>
          <cell r="Z38">
            <v>17829</v>
          </cell>
          <cell r="AJ38">
            <v>4855</v>
          </cell>
          <cell r="AK38">
            <v>4263</v>
          </cell>
          <cell r="AL38">
            <v>9118</v>
          </cell>
          <cell r="AV38">
            <v>2513</v>
          </cell>
          <cell r="AW38">
            <v>2367</v>
          </cell>
          <cell r="AX38">
            <v>4880</v>
          </cell>
          <cell r="AY38">
            <v>17005</v>
          </cell>
          <cell r="AZ38">
            <v>14822</v>
          </cell>
          <cell r="BA38">
            <v>31827</v>
          </cell>
          <cell r="BH38">
            <v>1600</v>
          </cell>
          <cell r="BI38">
            <v>1460</v>
          </cell>
          <cell r="BJ38">
            <v>3060</v>
          </cell>
          <cell r="BK38">
            <v>18605</v>
          </cell>
          <cell r="BL38">
            <v>16282</v>
          </cell>
          <cell r="BM38">
            <v>34887</v>
          </cell>
        </row>
        <row r="39">
          <cell r="X39">
            <v>904651</v>
          </cell>
          <cell r="Y39">
            <v>795288</v>
          </cell>
          <cell r="Z39">
            <v>1699939</v>
          </cell>
          <cell r="AJ39">
            <v>540708</v>
          </cell>
          <cell r="AK39">
            <v>456572</v>
          </cell>
          <cell r="AL39">
            <v>997280</v>
          </cell>
          <cell r="AV39">
            <v>278930</v>
          </cell>
          <cell r="AW39">
            <v>238134</v>
          </cell>
          <cell r="AX39">
            <v>517064</v>
          </cell>
          <cell r="AY39">
            <v>1724289</v>
          </cell>
          <cell r="AZ39">
            <v>1489994</v>
          </cell>
          <cell r="BA39">
            <v>3214283</v>
          </cell>
          <cell r="BH39">
            <v>208045</v>
          </cell>
          <cell r="BI39">
            <v>181248</v>
          </cell>
          <cell r="BJ39">
            <v>389293</v>
          </cell>
          <cell r="BK39">
            <v>1932334</v>
          </cell>
          <cell r="BL39">
            <v>1671242</v>
          </cell>
          <cell r="BM39">
            <v>3603576</v>
          </cell>
        </row>
        <row r="40">
          <cell r="X40">
            <v>3381</v>
          </cell>
          <cell r="Y40">
            <v>3380</v>
          </cell>
          <cell r="Z40">
            <v>6761</v>
          </cell>
          <cell r="AJ40">
            <v>1746</v>
          </cell>
          <cell r="AK40">
            <v>1764</v>
          </cell>
          <cell r="AL40">
            <v>3510</v>
          </cell>
          <cell r="AV40">
            <v>1270</v>
          </cell>
          <cell r="AW40">
            <v>1244</v>
          </cell>
          <cell r="AX40">
            <v>2514</v>
          </cell>
          <cell r="AY40">
            <v>6397</v>
          </cell>
          <cell r="AZ40">
            <v>6388</v>
          </cell>
          <cell r="BA40">
            <v>12785</v>
          </cell>
          <cell r="BH40">
            <v>1175</v>
          </cell>
          <cell r="BI40">
            <v>1161</v>
          </cell>
          <cell r="BJ40">
            <v>2336</v>
          </cell>
          <cell r="BK40">
            <v>7572</v>
          </cell>
          <cell r="BL40">
            <v>7549</v>
          </cell>
          <cell r="BM40">
            <v>15121</v>
          </cell>
        </row>
        <row r="41">
          <cell r="X41">
            <v>57056</v>
          </cell>
          <cell r="Y41">
            <v>54531</v>
          </cell>
          <cell r="Z41">
            <v>111587</v>
          </cell>
          <cell r="AJ41">
            <v>36313</v>
          </cell>
          <cell r="AK41">
            <v>34275</v>
          </cell>
          <cell r="AL41">
            <v>70588</v>
          </cell>
          <cell r="AV41">
            <v>20567</v>
          </cell>
          <cell r="AW41">
            <v>20545</v>
          </cell>
          <cell r="AX41">
            <v>41112</v>
          </cell>
          <cell r="AY41">
            <v>113936</v>
          </cell>
          <cell r="AZ41">
            <v>109351</v>
          </cell>
          <cell r="BA41">
            <v>223287</v>
          </cell>
          <cell r="BH41">
            <v>12896</v>
          </cell>
          <cell r="BI41">
            <v>14925</v>
          </cell>
          <cell r="BJ41">
            <v>27821</v>
          </cell>
          <cell r="BK41">
            <v>126832</v>
          </cell>
          <cell r="BL41">
            <v>124276</v>
          </cell>
          <cell r="BM41">
            <v>251108</v>
          </cell>
        </row>
        <row r="42">
          <cell r="X42">
            <v>70294234</v>
          </cell>
          <cell r="Y42">
            <v>64340177</v>
          </cell>
          <cell r="Z42">
            <v>134634411</v>
          </cell>
          <cell r="AJ42">
            <v>31829619</v>
          </cell>
          <cell r="AK42">
            <v>27678235</v>
          </cell>
          <cell r="AL42">
            <v>59507854</v>
          </cell>
          <cell r="AM42">
            <v>102123853</v>
          </cell>
          <cell r="AN42">
            <v>92018412</v>
          </cell>
          <cell r="AO42">
            <v>194142265</v>
          </cell>
          <cell r="AV42">
            <v>16896043</v>
          </cell>
          <cell r="AW42">
            <v>13702091</v>
          </cell>
          <cell r="AX42">
            <v>30598134</v>
          </cell>
          <cell r="AY42">
            <v>119019896</v>
          </cell>
          <cell r="AZ42">
            <v>105720503</v>
          </cell>
          <cell r="BA42">
            <v>224740399</v>
          </cell>
          <cell r="BH42">
            <v>9836690</v>
          </cell>
          <cell r="BI42">
            <v>7835274</v>
          </cell>
          <cell r="BJ42">
            <v>17671964</v>
          </cell>
          <cell r="BK42">
            <v>128856586</v>
          </cell>
          <cell r="BL42">
            <v>113555777</v>
          </cell>
          <cell r="BM42">
            <v>242412363</v>
          </cell>
        </row>
      </sheetData>
      <sheetData sheetId="3">
        <row r="6">
          <cell r="U6">
            <v>687649</v>
          </cell>
          <cell r="V6">
            <v>674318</v>
          </cell>
          <cell r="W6">
            <v>1361967</v>
          </cell>
          <cell r="AG6">
            <v>336849</v>
          </cell>
          <cell r="AH6">
            <v>326786</v>
          </cell>
          <cell r="AI6">
            <v>663635</v>
          </cell>
          <cell r="AS6">
            <v>207287</v>
          </cell>
          <cell r="AT6">
            <v>197748</v>
          </cell>
          <cell r="AU6">
            <v>405035</v>
          </cell>
          <cell r="AV6">
            <v>1231785</v>
          </cell>
          <cell r="AW6">
            <v>1198852</v>
          </cell>
          <cell r="AX6">
            <v>2430637</v>
          </cell>
          <cell r="BE6">
            <v>162683</v>
          </cell>
          <cell r="BF6">
            <v>128744</v>
          </cell>
          <cell r="BG6">
            <v>291427</v>
          </cell>
          <cell r="BH6">
            <v>1394468</v>
          </cell>
          <cell r="BI6">
            <v>1327596</v>
          </cell>
          <cell r="BJ6">
            <v>2722064</v>
          </cell>
        </row>
        <row r="8">
          <cell r="U8">
            <v>144206</v>
          </cell>
          <cell r="V8">
            <v>141256</v>
          </cell>
          <cell r="W8">
            <v>285462</v>
          </cell>
          <cell r="AG8">
            <v>73703</v>
          </cell>
          <cell r="AH8">
            <v>71448</v>
          </cell>
          <cell r="AI8">
            <v>145151</v>
          </cell>
          <cell r="AS8">
            <v>38070</v>
          </cell>
          <cell r="AT8">
            <v>30595</v>
          </cell>
          <cell r="AU8">
            <v>68665</v>
          </cell>
          <cell r="AV8">
            <v>255979</v>
          </cell>
          <cell r="AW8">
            <v>243299</v>
          </cell>
          <cell r="AX8">
            <v>499278</v>
          </cell>
          <cell r="BE8">
            <v>10416</v>
          </cell>
          <cell r="BF8">
            <v>6797</v>
          </cell>
          <cell r="BG8">
            <v>17213</v>
          </cell>
          <cell r="BH8">
            <v>266395</v>
          </cell>
          <cell r="BI8">
            <v>250096</v>
          </cell>
          <cell r="BJ8">
            <v>516491</v>
          </cell>
        </row>
        <row r="9">
          <cell r="U9">
            <v>1368496</v>
          </cell>
          <cell r="V9">
            <v>985387</v>
          </cell>
          <cell r="W9">
            <v>2353883</v>
          </cell>
          <cell r="AG9">
            <v>323544</v>
          </cell>
          <cell r="AH9">
            <v>209298</v>
          </cell>
          <cell r="AI9">
            <v>532842</v>
          </cell>
          <cell r="AS9">
            <v>107381</v>
          </cell>
          <cell r="AT9">
            <v>64919</v>
          </cell>
          <cell r="AU9">
            <v>172300</v>
          </cell>
          <cell r="AV9">
            <v>1799421</v>
          </cell>
          <cell r="AW9">
            <v>1259604</v>
          </cell>
          <cell r="AX9">
            <v>3059025</v>
          </cell>
          <cell r="BE9">
            <v>45049</v>
          </cell>
          <cell r="BF9">
            <v>23379</v>
          </cell>
          <cell r="BG9">
            <v>68428</v>
          </cell>
          <cell r="BH9">
            <v>1844470</v>
          </cell>
          <cell r="BI9">
            <v>1282983</v>
          </cell>
          <cell r="BJ9">
            <v>3127453</v>
          </cell>
        </row>
        <row r="10">
          <cell r="U10">
            <v>237790</v>
          </cell>
          <cell r="V10">
            <v>220256</v>
          </cell>
          <cell r="W10">
            <v>458046</v>
          </cell>
          <cell r="AG10">
            <v>103355</v>
          </cell>
          <cell r="AH10">
            <v>88313</v>
          </cell>
          <cell r="AI10">
            <v>191668</v>
          </cell>
          <cell r="AS10">
            <v>39856</v>
          </cell>
          <cell r="AT10">
            <v>30961</v>
          </cell>
          <cell r="AU10">
            <v>70817</v>
          </cell>
          <cell r="AV10">
            <v>381001</v>
          </cell>
          <cell r="AW10">
            <v>339530</v>
          </cell>
          <cell r="AX10">
            <v>720531</v>
          </cell>
          <cell r="BE10">
            <v>25995</v>
          </cell>
          <cell r="BF10">
            <v>19210</v>
          </cell>
          <cell r="BG10">
            <v>45205</v>
          </cell>
          <cell r="BH10">
            <v>406996</v>
          </cell>
          <cell r="BI10">
            <v>358740</v>
          </cell>
          <cell r="BJ10">
            <v>765736</v>
          </cell>
        </row>
        <row r="11">
          <cell r="U11">
            <v>1033</v>
          </cell>
          <cell r="V11">
            <v>1070</v>
          </cell>
          <cell r="W11">
            <v>2103</v>
          </cell>
          <cell r="AG11">
            <v>590</v>
          </cell>
          <cell r="AH11">
            <v>564</v>
          </cell>
          <cell r="AI11">
            <v>1154</v>
          </cell>
          <cell r="AS11">
            <v>269</v>
          </cell>
          <cell r="AT11">
            <v>315</v>
          </cell>
          <cell r="AU11">
            <v>584</v>
          </cell>
          <cell r="AV11">
            <v>1892</v>
          </cell>
          <cell r="AW11">
            <v>1949</v>
          </cell>
          <cell r="AX11">
            <v>3841</v>
          </cell>
          <cell r="BE11">
            <v>236</v>
          </cell>
          <cell r="BF11">
            <v>257</v>
          </cell>
          <cell r="BG11">
            <v>493</v>
          </cell>
          <cell r="BH11">
            <v>2128</v>
          </cell>
          <cell r="BI11">
            <v>2206</v>
          </cell>
          <cell r="BJ11">
            <v>4334</v>
          </cell>
        </row>
        <row r="12">
          <cell r="U12">
            <v>231294</v>
          </cell>
          <cell r="V12">
            <v>224708</v>
          </cell>
          <cell r="W12">
            <v>456002</v>
          </cell>
          <cell r="AG12">
            <v>116462</v>
          </cell>
          <cell r="AH12">
            <v>95850</v>
          </cell>
          <cell r="AI12">
            <v>212312</v>
          </cell>
          <cell r="AS12">
            <v>75110</v>
          </cell>
          <cell r="AT12">
            <v>52366</v>
          </cell>
          <cell r="AU12">
            <v>127476</v>
          </cell>
          <cell r="AV12">
            <v>422866</v>
          </cell>
          <cell r="AW12">
            <v>372924</v>
          </cell>
          <cell r="AX12">
            <v>795790</v>
          </cell>
          <cell r="BE12">
            <v>39264</v>
          </cell>
          <cell r="BF12">
            <v>31944</v>
          </cell>
          <cell r="BG12">
            <v>71208</v>
          </cell>
          <cell r="BH12">
            <v>462130</v>
          </cell>
          <cell r="BI12">
            <v>404868</v>
          </cell>
          <cell r="BJ12">
            <v>866998</v>
          </cell>
        </row>
        <row r="13">
          <cell r="U13">
            <v>395669</v>
          </cell>
          <cell r="V13">
            <v>357383</v>
          </cell>
          <cell r="W13">
            <v>753052</v>
          </cell>
          <cell r="AG13">
            <v>205349</v>
          </cell>
          <cell r="AH13">
            <v>179941</v>
          </cell>
          <cell r="AI13">
            <v>385290</v>
          </cell>
          <cell r="AS13">
            <v>103448</v>
          </cell>
          <cell r="AT13">
            <v>96622</v>
          </cell>
          <cell r="AU13">
            <v>200070</v>
          </cell>
          <cell r="AV13">
            <v>704466</v>
          </cell>
          <cell r="AW13">
            <v>633946</v>
          </cell>
          <cell r="AX13">
            <v>1338412</v>
          </cell>
          <cell r="BE13">
            <v>55636</v>
          </cell>
          <cell r="BF13">
            <v>43747</v>
          </cell>
          <cell r="BG13">
            <v>99383</v>
          </cell>
          <cell r="BH13">
            <v>760102</v>
          </cell>
          <cell r="BI13">
            <v>677693</v>
          </cell>
          <cell r="BJ13">
            <v>1437795</v>
          </cell>
        </row>
        <row r="14">
          <cell r="U14">
            <v>91555</v>
          </cell>
          <cell r="V14">
            <v>87036</v>
          </cell>
          <cell r="W14">
            <v>178591</v>
          </cell>
          <cell r="AG14">
            <v>59264</v>
          </cell>
          <cell r="AH14">
            <v>54736</v>
          </cell>
          <cell r="AI14">
            <v>114000</v>
          </cell>
          <cell r="AS14">
            <v>27537</v>
          </cell>
          <cell r="AT14">
            <v>26352</v>
          </cell>
          <cell r="AU14">
            <v>53889</v>
          </cell>
          <cell r="AV14">
            <v>178356</v>
          </cell>
          <cell r="AW14">
            <v>168124</v>
          </cell>
          <cell r="AX14">
            <v>346480</v>
          </cell>
          <cell r="BE14">
            <v>18997</v>
          </cell>
          <cell r="BF14">
            <v>17852</v>
          </cell>
          <cell r="BG14">
            <v>36849</v>
          </cell>
          <cell r="BH14">
            <v>197353</v>
          </cell>
          <cell r="BI14">
            <v>185976</v>
          </cell>
          <cell r="BJ14">
            <v>383329</v>
          </cell>
        </row>
        <row r="15">
          <cell r="U15">
            <v>49616</v>
          </cell>
          <cell r="V15">
            <v>42874</v>
          </cell>
          <cell r="W15">
            <v>92490</v>
          </cell>
          <cell r="AG15">
            <v>27991</v>
          </cell>
          <cell r="AH15">
            <v>25507</v>
          </cell>
          <cell r="AI15">
            <v>53498</v>
          </cell>
          <cell r="AS15">
            <v>12529</v>
          </cell>
          <cell r="AT15">
            <v>10683</v>
          </cell>
          <cell r="AU15">
            <v>23212</v>
          </cell>
          <cell r="AV15">
            <v>90136</v>
          </cell>
          <cell r="AW15">
            <v>79064</v>
          </cell>
          <cell r="AX15">
            <v>169200</v>
          </cell>
          <cell r="BE15">
            <v>7008</v>
          </cell>
          <cell r="BF15">
            <v>5797</v>
          </cell>
          <cell r="BG15">
            <v>12805</v>
          </cell>
          <cell r="BH15">
            <v>97144</v>
          </cell>
          <cell r="BI15">
            <v>84861</v>
          </cell>
          <cell r="BJ15">
            <v>182005</v>
          </cell>
        </row>
        <row r="16">
          <cell r="U16">
            <v>437955</v>
          </cell>
          <cell r="V16">
            <v>408727</v>
          </cell>
          <cell r="W16">
            <v>846682</v>
          </cell>
          <cell r="AG16">
            <v>82257</v>
          </cell>
          <cell r="AH16">
            <v>57643</v>
          </cell>
          <cell r="AI16">
            <v>139900</v>
          </cell>
          <cell r="AS16">
            <v>24675</v>
          </cell>
          <cell r="AT16">
            <v>14554</v>
          </cell>
          <cell r="AU16">
            <v>39229</v>
          </cell>
          <cell r="AV16">
            <v>544887</v>
          </cell>
          <cell r="AW16">
            <v>480924</v>
          </cell>
          <cell r="AX16">
            <v>1025811</v>
          </cell>
          <cell r="BE16">
            <v>6514</v>
          </cell>
          <cell r="BF16">
            <v>2312</v>
          </cell>
          <cell r="BG16">
            <v>8826</v>
          </cell>
          <cell r="BH16">
            <v>551401</v>
          </cell>
          <cell r="BI16">
            <v>483236</v>
          </cell>
          <cell r="BJ16">
            <v>1034637</v>
          </cell>
        </row>
        <row r="17">
          <cell r="U17">
            <v>550105</v>
          </cell>
          <cell r="V17">
            <v>517509</v>
          </cell>
          <cell r="W17">
            <v>1067614</v>
          </cell>
          <cell r="AG17">
            <v>284809</v>
          </cell>
          <cell r="AH17">
            <v>256767</v>
          </cell>
          <cell r="AI17">
            <v>541576</v>
          </cell>
          <cell r="AS17">
            <v>149055</v>
          </cell>
          <cell r="AT17">
            <v>132273</v>
          </cell>
          <cell r="AU17">
            <v>281328</v>
          </cell>
          <cell r="AV17">
            <v>983969</v>
          </cell>
          <cell r="AW17">
            <v>906549</v>
          </cell>
          <cell r="AX17">
            <v>1890518</v>
          </cell>
          <cell r="BE17">
            <v>83578</v>
          </cell>
          <cell r="BF17">
            <v>75467</v>
          </cell>
          <cell r="BG17">
            <v>159045</v>
          </cell>
          <cell r="BH17">
            <v>1067547</v>
          </cell>
          <cell r="BI17">
            <v>982016</v>
          </cell>
          <cell r="BJ17">
            <v>2049563</v>
          </cell>
        </row>
        <row r="18">
          <cell r="U18">
            <v>122439</v>
          </cell>
          <cell r="V18">
            <v>115965</v>
          </cell>
          <cell r="W18">
            <v>238404</v>
          </cell>
          <cell r="AG18">
            <v>87627</v>
          </cell>
          <cell r="AH18">
            <v>79978</v>
          </cell>
          <cell r="AI18">
            <v>167605</v>
          </cell>
          <cell r="AS18">
            <v>49638</v>
          </cell>
          <cell r="AT18">
            <v>48715</v>
          </cell>
          <cell r="AU18">
            <v>98353</v>
          </cell>
          <cell r="AV18">
            <v>259704</v>
          </cell>
          <cell r="AW18">
            <v>244658</v>
          </cell>
          <cell r="AX18">
            <v>504362</v>
          </cell>
          <cell r="BE18">
            <v>24306</v>
          </cell>
          <cell r="BF18">
            <v>32611</v>
          </cell>
          <cell r="BG18">
            <v>56917</v>
          </cell>
          <cell r="BH18">
            <v>284010</v>
          </cell>
          <cell r="BI18">
            <v>277269</v>
          </cell>
          <cell r="BJ18">
            <v>561279</v>
          </cell>
        </row>
        <row r="19">
          <cell r="U19">
            <v>926306</v>
          </cell>
          <cell r="V19">
            <v>914783</v>
          </cell>
          <cell r="W19">
            <v>1841089</v>
          </cell>
          <cell r="AG19">
            <v>403259</v>
          </cell>
          <cell r="AH19">
            <v>391503</v>
          </cell>
          <cell r="AI19">
            <v>794762</v>
          </cell>
          <cell r="AS19">
            <v>268831</v>
          </cell>
          <cell r="AT19">
            <v>151499</v>
          </cell>
          <cell r="AU19">
            <v>420330</v>
          </cell>
          <cell r="AV19">
            <v>1598396</v>
          </cell>
          <cell r="AW19">
            <v>1457785</v>
          </cell>
          <cell r="AX19">
            <v>3056181</v>
          </cell>
          <cell r="BE19">
            <v>126512</v>
          </cell>
          <cell r="BF19">
            <v>72120</v>
          </cell>
          <cell r="BG19">
            <v>198632</v>
          </cell>
          <cell r="BH19">
            <v>1724908</v>
          </cell>
          <cell r="BI19">
            <v>1529905</v>
          </cell>
          <cell r="BJ19">
            <v>3254813</v>
          </cell>
        </row>
        <row r="20">
          <cell r="U20">
            <v>780700</v>
          </cell>
          <cell r="V20">
            <v>721535</v>
          </cell>
          <cell r="W20">
            <v>1502235</v>
          </cell>
          <cell r="AG20">
            <v>421440</v>
          </cell>
          <cell r="AH20">
            <v>380499</v>
          </cell>
          <cell r="AI20">
            <v>801939</v>
          </cell>
          <cell r="AS20">
            <v>246306</v>
          </cell>
          <cell r="AT20">
            <v>203546</v>
          </cell>
          <cell r="AU20">
            <v>449852</v>
          </cell>
          <cell r="AV20">
            <v>1448446</v>
          </cell>
          <cell r="AW20">
            <v>1305580</v>
          </cell>
          <cell r="AX20">
            <v>2754026</v>
          </cell>
          <cell r="BE20">
            <v>197624</v>
          </cell>
          <cell r="BF20">
            <v>149849</v>
          </cell>
          <cell r="BG20">
            <v>347473</v>
          </cell>
          <cell r="BH20">
            <v>1646070</v>
          </cell>
          <cell r="BI20">
            <v>1455429</v>
          </cell>
          <cell r="BJ20">
            <v>3101499</v>
          </cell>
        </row>
        <row r="21">
          <cell r="U21">
            <v>4896</v>
          </cell>
          <cell r="V21">
            <v>4406</v>
          </cell>
          <cell r="W21">
            <v>9302</v>
          </cell>
          <cell r="AG21">
            <v>2704</v>
          </cell>
          <cell r="AH21">
            <v>2415</v>
          </cell>
          <cell r="AI21">
            <v>5119</v>
          </cell>
          <cell r="AS21">
            <v>1745</v>
          </cell>
          <cell r="AT21">
            <v>1648</v>
          </cell>
          <cell r="AU21">
            <v>3393</v>
          </cell>
          <cell r="AV21">
            <v>9345</v>
          </cell>
          <cell r="AW21">
            <v>8469</v>
          </cell>
          <cell r="AX21">
            <v>17814</v>
          </cell>
          <cell r="BE21">
            <v>495</v>
          </cell>
          <cell r="BF21">
            <v>478</v>
          </cell>
          <cell r="BG21">
            <v>973</v>
          </cell>
          <cell r="BH21">
            <v>9840</v>
          </cell>
          <cell r="BI21">
            <v>8947</v>
          </cell>
          <cell r="BJ21">
            <v>18787</v>
          </cell>
        </row>
        <row r="22">
          <cell r="U22">
            <v>2726</v>
          </cell>
          <cell r="V22">
            <v>2293</v>
          </cell>
          <cell r="W22">
            <v>5019</v>
          </cell>
          <cell r="AG22">
            <v>1075</v>
          </cell>
          <cell r="AH22">
            <v>1009</v>
          </cell>
          <cell r="AI22">
            <v>2084</v>
          </cell>
          <cell r="AS22">
            <v>504</v>
          </cell>
          <cell r="AT22">
            <v>422</v>
          </cell>
          <cell r="AU22">
            <v>926</v>
          </cell>
          <cell r="AV22">
            <v>4305</v>
          </cell>
          <cell r="AW22">
            <v>3724</v>
          </cell>
          <cell r="AX22">
            <v>8029</v>
          </cell>
          <cell r="BE22">
            <v>103</v>
          </cell>
          <cell r="BF22">
            <v>90</v>
          </cell>
          <cell r="BG22">
            <v>193</v>
          </cell>
          <cell r="BH22">
            <v>4408</v>
          </cell>
          <cell r="BI22">
            <v>3814</v>
          </cell>
          <cell r="BJ22">
            <v>8222</v>
          </cell>
        </row>
        <row r="23">
          <cell r="U23">
            <v>5</v>
          </cell>
          <cell r="V23">
            <v>10</v>
          </cell>
          <cell r="W23">
            <v>15</v>
          </cell>
          <cell r="AG23">
            <v>4</v>
          </cell>
          <cell r="AH23">
            <v>5</v>
          </cell>
          <cell r="AI23">
            <v>9</v>
          </cell>
          <cell r="AS23">
            <v>2</v>
          </cell>
          <cell r="AT23">
            <v>2</v>
          </cell>
          <cell r="AU23">
            <v>4</v>
          </cell>
          <cell r="AV23">
            <v>11</v>
          </cell>
          <cell r="AW23">
            <v>17</v>
          </cell>
          <cell r="AX23">
            <v>28</v>
          </cell>
          <cell r="BE23">
            <v>4</v>
          </cell>
          <cell r="BF23">
            <v>1</v>
          </cell>
          <cell r="BG23">
            <v>5</v>
          </cell>
          <cell r="BH23">
            <v>15</v>
          </cell>
          <cell r="BI23">
            <v>18</v>
          </cell>
          <cell r="BJ23">
            <v>33</v>
          </cell>
        </row>
        <row r="25">
          <cell r="U25">
            <v>441197</v>
          </cell>
          <cell r="V25">
            <v>423885</v>
          </cell>
          <cell r="W25">
            <v>865082</v>
          </cell>
          <cell r="AG25">
            <v>204311</v>
          </cell>
          <cell r="AH25">
            <v>188740</v>
          </cell>
          <cell r="AI25">
            <v>393051</v>
          </cell>
          <cell r="AS25">
            <v>82084</v>
          </cell>
          <cell r="AT25">
            <v>71418</v>
          </cell>
          <cell r="AU25">
            <v>153502</v>
          </cell>
          <cell r="AV25">
            <v>727592</v>
          </cell>
          <cell r="AW25">
            <v>684043</v>
          </cell>
          <cell r="AX25">
            <v>1411635</v>
          </cell>
          <cell r="BE25">
            <v>28492</v>
          </cell>
          <cell r="BF25">
            <v>19030</v>
          </cell>
          <cell r="BG25">
            <v>47522</v>
          </cell>
          <cell r="BH25">
            <v>756084</v>
          </cell>
          <cell r="BI25">
            <v>703073</v>
          </cell>
          <cell r="BJ25">
            <v>1459157</v>
          </cell>
        </row>
        <row r="26">
          <cell r="U26">
            <v>540219</v>
          </cell>
          <cell r="V26">
            <v>468118</v>
          </cell>
          <cell r="W26">
            <v>1008337</v>
          </cell>
          <cell r="AG26">
            <v>252942</v>
          </cell>
          <cell r="AH26">
            <v>220509</v>
          </cell>
          <cell r="AI26">
            <v>473451</v>
          </cell>
          <cell r="AS26">
            <v>97493</v>
          </cell>
          <cell r="AT26">
            <v>91862</v>
          </cell>
          <cell r="AU26">
            <v>189355</v>
          </cell>
          <cell r="AV26">
            <v>890654</v>
          </cell>
          <cell r="AW26">
            <v>780489</v>
          </cell>
          <cell r="AX26">
            <v>1671143</v>
          </cell>
          <cell r="BE26">
            <v>49057</v>
          </cell>
          <cell r="BF26">
            <v>43200</v>
          </cell>
          <cell r="BG26">
            <v>92257</v>
          </cell>
          <cell r="BH26">
            <v>939711</v>
          </cell>
          <cell r="BI26">
            <v>823689</v>
          </cell>
          <cell r="BJ26">
            <v>1763400</v>
          </cell>
        </row>
        <row r="27">
          <cell r="U27">
            <v>956392</v>
          </cell>
          <cell r="V27">
            <v>812197</v>
          </cell>
          <cell r="W27">
            <v>1768589</v>
          </cell>
          <cell r="AG27">
            <v>414791</v>
          </cell>
          <cell r="AH27">
            <v>285463</v>
          </cell>
          <cell r="AI27">
            <v>700254</v>
          </cell>
          <cell r="AS27">
            <v>174293</v>
          </cell>
          <cell r="AT27">
            <v>95535</v>
          </cell>
          <cell r="AU27">
            <v>269828</v>
          </cell>
          <cell r="AV27">
            <v>1545476</v>
          </cell>
          <cell r="AW27">
            <v>1193195</v>
          </cell>
          <cell r="AX27">
            <v>2738671</v>
          </cell>
          <cell r="BE27">
            <v>102488</v>
          </cell>
          <cell r="BF27">
            <v>49545</v>
          </cell>
          <cell r="BG27">
            <v>152033</v>
          </cell>
          <cell r="BH27">
            <v>1647964</v>
          </cell>
          <cell r="BI27">
            <v>1242740</v>
          </cell>
          <cell r="BJ27">
            <v>2890704</v>
          </cell>
        </row>
        <row r="28">
          <cell r="U28">
            <v>3154</v>
          </cell>
          <cell r="V28">
            <v>2943</v>
          </cell>
          <cell r="W28">
            <v>6097</v>
          </cell>
          <cell r="AG28">
            <v>831</v>
          </cell>
          <cell r="AH28">
            <v>1039</v>
          </cell>
          <cell r="AI28">
            <v>1870</v>
          </cell>
          <cell r="AS28">
            <v>329</v>
          </cell>
          <cell r="AT28">
            <v>326</v>
          </cell>
          <cell r="AU28">
            <v>655</v>
          </cell>
          <cell r="AV28">
            <v>4314</v>
          </cell>
          <cell r="AW28">
            <v>4308</v>
          </cell>
          <cell r="AX28">
            <v>8622</v>
          </cell>
          <cell r="BE28">
            <v>181</v>
          </cell>
          <cell r="BF28">
            <v>172</v>
          </cell>
          <cell r="BG28">
            <v>353</v>
          </cell>
          <cell r="BH28">
            <v>4495</v>
          </cell>
          <cell r="BI28">
            <v>4480</v>
          </cell>
          <cell r="BJ28">
            <v>8975</v>
          </cell>
        </row>
        <row r="29">
          <cell r="U29">
            <v>783320</v>
          </cell>
          <cell r="V29">
            <v>744966</v>
          </cell>
          <cell r="W29">
            <v>1528286</v>
          </cell>
          <cell r="AG29">
            <v>484442</v>
          </cell>
          <cell r="AH29">
            <v>453413</v>
          </cell>
          <cell r="AI29">
            <v>937855</v>
          </cell>
          <cell r="AS29">
            <v>248468</v>
          </cell>
          <cell r="AT29">
            <v>249271</v>
          </cell>
          <cell r="AU29">
            <v>497739</v>
          </cell>
          <cell r="AV29">
            <v>1516230</v>
          </cell>
          <cell r="AW29">
            <v>1447650</v>
          </cell>
          <cell r="AX29">
            <v>2963880</v>
          </cell>
          <cell r="BE29">
            <v>131044</v>
          </cell>
          <cell r="BF29">
            <v>148847</v>
          </cell>
          <cell r="BG29">
            <v>279891</v>
          </cell>
          <cell r="BH29">
            <v>1647274</v>
          </cell>
          <cell r="BI29">
            <v>1596497</v>
          </cell>
          <cell r="BJ29">
            <v>3243771</v>
          </cell>
        </row>
        <row r="30">
          <cell r="U30">
            <v>41851</v>
          </cell>
          <cell r="V30">
            <v>40246</v>
          </cell>
          <cell r="W30">
            <v>82097</v>
          </cell>
          <cell r="AG30">
            <v>23833</v>
          </cell>
          <cell r="AH30">
            <v>24065</v>
          </cell>
          <cell r="AI30">
            <v>47898</v>
          </cell>
          <cell r="AS30">
            <v>11463</v>
          </cell>
          <cell r="AT30">
            <v>11146</v>
          </cell>
          <cell r="AU30">
            <v>22609</v>
          </cell>
          <cell r="AV30">
            <v>77147</v>
          </cell>
          <cell r="AW30">
            <v>75457</v>
          </cell>
          <cell r="AX30">
            <v>152604</v>
          </cell>
          <cell r="BE30">
            <v>4706</v>
          </cell>
          <cell r="BF30">
            <v>3300</v>
          </cell>
          <cell r="BG30">
            <v>8006</v>
          </cell>
          <cell r="BH30">
            <v>81853</v>
          </cell>
          <cell r="BI30">
            <v>78757</v>
          </cell>
          <cell r="BJ30">
            <v>160610</v>
          </cell>
        </row>
        <row r="31">
          <cell r="U31">
            <v>3171033</v>
          </cell>
          <cell r="V31">
            <v>3109371</v>
          </cell>
          <cell r="W31">
            <v>6280404</v>
          </cell>
          <cell r="AG31">
            <v>1093270</v>
          </cell>
          <cell r="AH31">
            <v>966160</v>
          </cell>
          <cell r="AI31">
            <v>2059430</v>
          </cell>
          <cell r="AS31">
            <v>744331</v>
          </cell>
          <cell r="AT31">
            <v>507616</v>
          </cell>
          <cell r="AU31">
            <v>1251947</v>
          </cell>
          <cell r="AV31">
            <v>5008634</v>
          </cell>
          <cell r="AW31">
            <v>4583147</v>
          </cell>
          <cell r="AX31">
            <v>9591781</v>
          </cell>
          <cell r="BE31">
            <v>261274</v>
          </cell>
          <cell r="BF31">
            <v>196546</v>
          </cell>
          <cell r="BG31">
            <v>457820</v>
          </cell>
          <cell r="BH31">
            <v>5269908</v>
          </cell>
          <cell r="BI31">
            <v>4779693</v>
          </cell>
          <cell r="BJ31">
            <v>10049601</v>
          </cell>
        </row>
        <row r="32">
          <cell r="U32">
            <v>149917</v>
          </cell>
          <cell r="V32">
            <v>146757</v>
          </cell>
          <cell r="W32">
            <v>296674</v>
          </cell>
          <cell r="AG32">
            <v>71880</v>
          </cell>
          <cell r="AH32">
            <v>69446</v>
          </cell>
          <cell r="AI32">
            <v>141326</v>
          </cell>
          <cell r="AS32">
            <v>38000</v>
          </cell>
          <cell r="AT32">
            <v>27341</v>
          </cell>
          <cell r="AU32">
            <v>65341</v>
          </cell>
          <cell r="AV32">
            <v>259797</v>
          </cell>
          <cell r="AW32">
            <v>243544</v>
          </cell>
          <cell r="AX32">
            <v>503341</v>
          </cell>
          <cell r="BE32">
            <v>18047</v>
          </cell>
          <cell r="BF32">
            <v>13578</v>
          </cell>
          <cell r="BG32">
            <v>31625</v>
          </cell>
          <cell r="BH32">
            <v>277844</v>
          </cell>
          <cell r="BI32">
            <v>257122</v>
          </cell>
          <cell r="BJ32">
            <v>534966</v>
          </cell>
        </row>
        <row r="33">
          <cell r="U33">
            <v>1379448</v>
          </cell>
          <cell r="V33">
            <v>1332915</v>
          </cell>
          <cell r="W33">
            <v>2712363</v>
          </cell>
          <cell r="AG33">
            <v>609561</v>
          </cell>
          <cell r="AH33">
            <v>599516</v>
          </cell>
          <cell r="AI33">
            <v>1209077</v>
          </cell>
          <cell r="AS33">
            <v>258175</v>
          </cell>
          <cell r="AT33">
            <v>241933</v>
          </cell>
          <cell r="AU33">
            <v>500108</v>
          </cell>
          <cell r="AV33">
            <v>2247184</v>
          </cell>
          <cell r="AW33">
            <v>2174364</v>
          </cell>
          <cell r="AX33">
            <v>4421548</v>
          </cell>
          <cell r="BE33">
            <v>134458</v>
          </cell>
          <cell r="BF33">
            <v>91446</v>
          </cell>
          <cell r="BG33">
            <v>225904</v>
          </cell>
          <cell r="BH33">
            <v>2381642</v>
          </cell>
          <cell r="BI33">
            <v>2265810</v>
          </cell>
          <cell r="BJ33">
            <v>4647452</v>
          </cell>
        </row>
        <row r="35">
          <cell r="U35">
            <v>3777</v>
          </cell>
          <cell r="V35">
            <v>3212</v>
          </cell>
          <cell r="W35">
            <v>6989</v>
          </cell>
          <cell r="AG35">
            <v>2803</v>
          </cell>
          <cell r="AH35">
            <v>2637</v>
          </cell>
          <cell r="AI35">
            <v>5440</v>
          </cell>
          <cell r="AS35">
            <v>1208</v>
          </cell>
          <cell r="AT35">
            <v>1103</v>
          </cell>
          <cell r="AU35">
            <v>2311</v>
          </cell>
          <cell r="AV35">
            <v>7788</v>
          </cell>
          <cell r="AW35">
            <v>6952</v>
          </cell>
          <cell r="AX35">
            <v>14740</v>
          </cell>
          <cell r="BE35">
            <v>1399</v>
          </cell>
          <cell r="BF35">
            <v>1266</v>
          </cell>
          <cell r="BG35">
            <v>2665</v>
          </cell>
          <cell r="BH35">
            <v>9187</v>
          </cell>
          <cell r="BI35">
            <v>8218</v>
          </cell>
          <cell r="BJ35">
            <v>17405</v>
          </cell>
        </row>
        <row r="36">
          <cell r="U36">
            <v>378</v>
          </cell>
          <cell r="V36">
            <v>301</v>
          </cell>
          <cell r="W36">
            <v>679</v>
          </cell>
          <cell r="AG36">
            <v>221</v>
          </cell>
          <cell r="AH36">
            <v>210</v>
          </cell>
          <cell r="AI36">
            <v>431</v>
          </cell>
          <cell r="AS36">
            <v>100</v>
          </cell>
          <cell r="AT36">
            <v>104</v>
          </cell>
          <cell r="AU36">
            <v>204</v>
          </cell>
          <cell r="AV36">
            <v>699</v>
          </cell>
          <cell r="AW36">
            <v>615</v>
          </cell>
          <cell r="AX36">
            <v>1314</v>
          </cell>
          <cell r="BE36">
            <v>65</v>
          </cell>
          <cell r="BF36">
            <v>48</v>
          </cell>
          <cell r="BG36">
            <v>113</v>
          </cell>
          <cell r="BH36">
            <v>764</v>
          </cell>
          <cell r="BI36">
            <v>663</v>
          </cell>
          <cell r="BJ36">
            <v>1427</v>
          </cell>
        </row>
        <row r="37">
          <cell r="U37">
            <v>415</v>
          </cell>
          <cell r="V37">
            <v>344</v>
          </cell>
          <cell r="W37">
            <v>759</v>
          </cell>
          <cell r="AG37">
            <v>260</v>
          </cell>
          <cell r="AH37">
            <v>212</v>
          </cell>
          <cell r="AI37">
            <v>472</v>
          </cell>
          <cell r="AS37">
            <v>183</v>
          </cell>
          <cell r="AT37">
            <v>153</v>
          </cell>
          <cell r="AU37">
            <v>336</v>
          </cell>
          <cell r="AV37">
            <v>858</v>
          </cell>
          <cell r="AW37">
            <v>709</v>
          </cell>
          <cell r="AX37">
            <v>1567</v>
          </cell>
          <cell r="BE37">
            <v>83</v>
          </cell>
          <cell r="BF37">
            <v>79</v>
          </cell>
          <cell r="BG37">
            <v>162</v>
          </cell>
          <cell r="BH37">
            <v>941</v>
          </cell>
          <cell r="BI37">
            <v>788</v>
          </cell>
          <cell r="BJ37">
            <v>1729</v>
          </cell>
        </row>
        <row r="38">
          <cell r="U38">
            <v>95990</v>
          </cell>
          <cell r="V38">
            <v>81284</v>
          </cell>
          <cell r="W38">
            <v>177274</v>
          </cell>
          <cell r="AG38">
            <v>52135</v>
          </cell>
          <cell r="AH38">
            <v>52052</v>
          </cell>
          <cell r="AI38">
            <v>104187</v>
          </cell>
          <cell r="AS38">
            <v>28432</v>
          </cell>
          <cell r="AT38">
            <v>30055</v>
          </cell>
          <cell r="AU38">
            <v>58487</v>
          </cell>
          <cell r="AV38">
            <v>176557</v>
          </cell>
          <cell r="AW38">
            <v>163391</v>
          </cell>
          <cell r="AX38">
            <v>339948</v>
          </cell>
          <cell r="BE38">
            <v>20109</v>
          </cell>
          <cell r="BF38">
            <v>21525</v>
          </cell>
          <cell r="BG38">
            <v>41634</v>
          </cell>
          <cell r="BH38">
            <v>196666</v>
          </cell>
          <cell r="BI38">
            <v>184916</v>
          </cell>
          <cell r="BJ38">
            <v>381582</v>
          </cell>
        </row>
        <row r="40">
          <cell r="U40">
            <v>10627</v>
          </cell>
          <cell r="V40">
            <v>10411</v>
          </cell>
          <cell r="W40">
            <v>21038</v>
          </cell>
          <cell r="AG40">
            <v>6835</v>
          </cell>
          <cell r="AH40">
            <v>6665</v>
          </cell>
          <cell r="AI40">
            <v>13500</v>
          </cell>
          <cell r="AS40">
            <v>3588</v>
          </cell>
          <cell r="AT40">
            <v>3876</v>
          </cell>
          <cell r="AU40">
            <v>7464</v>
          </cell>
          <cell r="AV40">
            <v>21050</v>
          </cell>
          <cell r="AW40">
            <v>20952</v>
          </cell>
          <cell r="AX40">
            <v>42002</v>
          </cell>
          <cell r="BE40">
            <v>2048</v>
          </cell>
          <cell r="BF40">
            <v>2392</v>
          </cell>
          <cell r="BG40">
            <v>4440</v>
          </cell>
          <cell r="BH40">
            <v>23098</v>
          </cell>
          <cell r="BI40">
            <v>23344</v>
          </cell>
          <cell r="BJ40">
            <v>46442</v>
          </cell>
        </row>
        <row r="41">
          <cell r="U41">
            <v>13610158</v>
          </cell>
          <cell r="V41">
            <v>12596466</v>
          </cell>
          <cell r="W41">
            <v>26206624</v>
          </cell>
          <cell r="AG41">
            <v>5748397</v>
          </cell>
          <cell r="AH41">
            <v>5092389</v>
          </cell>
          <cell r="AI41">
            <v>10840786</v>
          </cell>
          <cell r="AJ41">
            <v>19358555</v>
          </cell>
          <cell r="AK41">
            <v>17688855</v>
          </cell>
          <cell r="AL41">
            <v>37047410</v>
          </cell>
          <cell r="AS41">
            <v>3040390</v>
          </cell>
          <cell r="AT41">
            <v>2394959</v>
          </cell>
          <cell r="AU41">
            <v>5435349</v>
          </cell>
          <cell r="AV41">
            <v>22398945</v>
          </cell>
          <cell r="AW41">
            <v>20083814</v>
          </cell>
          <cell r="AX41">
            <v>42482759</v>
          </cell>
          <cell r="BE41">
            <v>1557871</v>
          </cell>
          <cell r="BF41">
            <v>1201629</v>
          </cell>
          <cell r="BG41">
            <v>2759500</v>
          </cell>
          <cell r="BH41">
            <v>23956816</v>
          </cell>
          <cell r="BI41">
            <v>21285443</v>
          </cell>
          <cell r="BJ41">
            <v>45242259</v>
          </cell>
        </row>
      </sheetData>
      <sheetData sheetId="4">
        <row r="6">
          <cell r="U6">
            <v>389008</v>
          </cell>
          <cell r="V6">
            <v>365360</v>
          </cell>
          <cell r="W6">
            <v>754368</v>
          </cell>
          <cell r="AG6">
            <v>149781</v>
          </cell>
          <cell r="AH6">
            <v>126097</v>
          </cell>
          <cell r="AI6">
            <v>275878</v>
          </cell>
          <cell r="AS6">
            <v>81536</v>
          </cell>
          <cell r="AT6">
            <v>69120</v>
          </cell>
          <cell r="AU6">
            <v>150656</v>
          </cell>
          <cell r="AV6">
            <v>620325</v>
          </cell>
          <cell r="AW6">
            <v>560577</v>
          </cell>
          <cell r="AX6">
            <v>1180902</v>
          </cell>
          <cell r="BE6">
            <v>63027</v>
          </cell>
          <cell r="BF6">
            <v>36829</v>
          </cell>
          <cell r="BG6">
            <v>99856</v>
          </cell>
          <cell r="BH6">
            <v>683352</v>
          </cell>
          <cell r="BI6">
            <v>597406</v>
          </cell>
          <cell r="BJ6">
            <v>1280758</v>
          </cell>
        </row>
        <row r="7">
          <cell r="U7">
            <v>86282</v>
          </cell>
          <cell r="V7">
            <v>81954</v>
          </cell>
          <cell r="W7">
            <v>168236</v>
          </cell>
          <cell r="AG7">
            <v>29758</v>
          </cell>
          <cell r="AH7">
            <v>27550</v>
          </cell>
          <cell r="AI7">
            <v>57308</v>
          </cell>
          <cell r="AS7">
            <v>13338</v>
          </cell>
          <cell r="AT7">
            <v>11695</v>
          </cell>
          <cell r="AU7">
            <v>25033</v>
          </cell>
          <cell r="AV7">
            <v>129378</v>
          </cell>
          <cell r="AW7">
            <v>121199</v>
          </cell>
          <cell r="AX7">
            <v>250577</v>
          </cell>
          <cell r="BE7">
            <v>8120</v>
          </cell>
          <cell r="BF7">
            <v>6877</v>
          </cell>
          <cell r="BG7">
            <v>14997</v>
          </cell>
          <cell r="BH7">
            <v>137498</v>
          </cell>
          <cell r="BI7">
            <v>128076</v>
          </cell>
          <cell r="BJ7">
            <v>265574</v>
          </cell>
        </row>
        <row r="8">
          <cell r="U8">
            <v>208254</v>
          </cell>
          <cell r="V8">
            <v>208186</v>
          </cell>
          <cell r="W8">
            <v>416440</v>
          </cell>
          <cell r="AG8">
            <v>112708</v>
          </cell>
          <cell r="AH8">
            <v>107584</v>
          </cell>
          <cell r="AI8">
            <v>220292</v>
          </cell>
          <cell r="AS8">
            <v>54059</v>
          </cell>
          <cell r="AT8">
            <v>49023</v>
          </cell>
          <cell r="AU8">
            <v>103082</v>
          </cell>
          <cell r="AV8">
            <v>375021</v>
          </cell>
          <cell r="AW8">
            <v>364793</v>
          </cell>
          <cell r="AX8">
            <v>739814</v>
          </cell>
          <cell r="BE8">
            <v>17781</v>
          </cell>
          <cell r="BF8">
            <v>11798</v>
          </cell>
          <cell r="BG8">
            <v>29579</v>
          </cell>
          <cell r="BH8">
            <v>392802</v>
          </cell>
          <cell r="BI8">
            <v>376591</v>
          </cell>
          <cell r="BJ8">
            <v>769393</v>
          </cell>
        </row>
        <row r="9">
          <cell r="U9">
            <v>130551</v>
          </cell>
          <cell r="V9">
            <v>72503</v>
          </cell>
          <cell r="W9">
            <v>203054</v>
          </cell>
          <cell r="AG9">
            <v>35899</v>
          </cell>
          <cell r="AH9">
            <v>18155</v>
          </cell>
          <cell r="AI9">
            <v>54054</v>
          </cell>
          <cell r="AS9">
            <v>11138</v>
          </cell>
          <cell r="AT9">
            <v>6027</v>
          </cell>
          <cell r="AU9">
            <v>17165</v>
          </cell>
          <cell r="AV9">
            <v>177588</v>
          </cell>
          <cell r="AW9">
            <v>96685</v>
          </cell>
          <cell r="AX9">
            <v>274273</v>
          </cell>
          <cell r="BE9">
            <v>6046</v>
          </cell>
          <cell r="BF9">
            <v>3256</v>
          </cell>
          <cell r="BG9">
            <v>9302</v>
          </cell>
          <cell r="BH9">
            <v>183634</v>
          </cell>
          <cell r="BI9">
            <v>99941</v>
          </cell>
          <cell r="BJ9">
            <v>283575</v>
          </cell>
        </row>
        <row r="10">
          <cell r="U10">
            <v>508558</v>
          </cell>
          <cell r="V10">
            <v>474692</v>
          </cell>
          <cell r="W10">
            <v>983250</v>
          </cell>
          <cell r="AG10">
            <v>192488</v>
          </cell>
          <cell r="AH10">
            <v>171007</v>
          </cell>
          <cell r="AI10">
            <v>363495</v>
          </cell>
          <cell r="AS10">
            <v>84879</v>
          </cell>
          <cell r="AT10">
            <v>73545</v>
          </cell>
          <cell r="AU10">
            <v>158424</v>
          </cell>
          <cell r="AV10">
            <v>785925</v>
          </cell>
          <cell r="AW10">
            <v>719244</v>
          </cell>
          <cell r="AX10">
            <v>1505169</v>
          </cell>
          <cell r="BE10">
            <v>46559</v>
          </cell>
          <cell r="BF10">
            <v>33877</v>
          </cell>
          <cell r="BG10">
            <v>80436</v>
          </cell>
          <cell r="BH10">
            <v>832484</v>
          </cell>
          <cell r="BI10">
            <v>753121</v>
          </cell>
          <cell r="BJ10">
            <v>1585605</v>
          </cell>
        </row>
        <row r="11">
          <cell r="U11">
            <v>4396</v>
          </cell>
          <cell r="V11">
            <v>4062</v>
          </cell>
          <cell r="W11">
            <v>8458</v>
          </cell>
          <cell r="AG11">
            <v>3152</v>
          </cell>
          <cell r="AH11">
            <v>2830</v>
          </cell>
          <cell r="AI11">
            <v>5982</v>
          </cell>
          <cell r="AS11">
            <v>1705</v>
          </cell>
          <cell r="AT11">
            <v>1628</v>
          </cell>
          <cell r="AU11">
            <v>3333</v>
          </cell>
          <cell r="AV11">
            <v>9253</v>
          </cell>
          <cell r="AW11">
            <v>8520</v>
          </cell>
          <cell r="AX11">
            <v>17773</v>
          </cell>
          <cell r="BE11">
            <v>775</v>
          </cell>
          <cell r="BF11">
            <v>744</v>
          </cell>
          <cell r="BG11">
            <v>1519</v>
          </cell>
          <cell r="BH11">
            <v>10028</v>
          </cell>
          <cell r="BI11">
            <v>9264</v>
          </cell>
          <cell r="BJ11">
            <v>19292</v>
          </cell>
        </row>
        <row r="12">
          <cell r="U12">
            <v>634761</v>
          </cell>
          <cell r="V12">
            <v>590277</v>
          </cell>
          <cell r="W12">
            <v>1225038</v>
          </cell>
          <cell r="AG12">
            <v>198327</v>
          </cell>
          <cell r="AH12">
            <v>175622</v>
          </cell>
          <cell r="AI12">
            <v>373949</v>
          </cell>
          <cell r="AS12">
            <v>101633</v>
          </cell>
          <cell r="AT12">
            <v>79600</v>
          </cell>
          <cell r="AU12">
            <v>181233</v>
          </cell>
          <cell r="AV12">
            <v>934721</v>
          </cell>
          <cell r="AW12">
            <v>845499</v>
          </cell>
          <cell r="AX12">
            <v>1780220</v>
          </cell>
          <cell r="BE12">
            <v>40979</v>
          </cell>
          <cell r="BF12">
            <v>32833</v>
          </cell>
          <cell r="BG12">
            <v>73812</v>
          </cell>
          <cell r="BH12">
            <v>975700</v>
          </cell>
          <cell r="BI12">
            <v>878332</v>
          </cell>
          <cell r="BJ12">
            <v>1854032</v>
          </cell>
        </row>
        <row r="14">
          <cell r="U14">
            <v>18039</v>
          </cell>
          <cell r="V14">
            <v>16885</v>
          </cell>
          <cell r="W14">
            <v>34924</v>
          </cell>
          <cell r="AG14">
            <v>12499</v>
          </cell>
          <cell r="AH14">
            <v>11512</v>
          </cell>
          <cell r="AI14">
            <v>24011</v>
          </cell>
          <cell r="AS14">
            <v>6292</v>
          </cell>
          <cell r="AT14">
            <v>7878</v>
          </cell>
          <cell r="AU14">
            <v>14170</v>
          </cell>
          <cell r="AV14">
            <v>36830</v>
          </cell>
          <cell r="AW14">
            <v>36275</v>
          </cell>
          <cell r="AX14">
            <v>73105</v>
          </cell>
          <cell r="BE14">
            <v>5395</v>
          </cell>
          <cell r="BF14">
            <v>4975</v>
          </cell>
          <cell r="BG14">
            <v>10370</v>
          </cell>
          <cell r="BH14">
            <v>42225</v>
          </cell>
          <cell r="BI14">
            <v>41250</v>
          </cell>
          <cell r="BJ14">
            <v>83475</v>
          </cell>
        </row>
        <row r="15">
          <cell r="U15">
            <v>69940</v>
          </cell>
          <cell r="V15">
            <v>59897</v>
          </cell>
          <cell r="W15">
            <v>129837</v>
          </cell>
          <cell r="AG15">
            <v>29361</v>
          </cell>
          <cell r="AH15">
            <v>23593</v>
          </cell>
          <cell r="AI15">
            <v>52954</v>
          </cell>
          <cell r="AS15">
            <v>10324</v>
          </cell>
          <cell r="AT15">
            <v>6591</v>
          </cell>
          <cell r="AU15">
            <v>16915</v>
          </cell>
          <cell r="AV15">
            <v>109625</v>
          </cell>
          <cell r="AW15">
            <v>90081</v>
          </cell>
          <cell r="AX15">
            <v>199706</v>
          </cell>
          <cell r="BE15">
            <v>6560</v>
          </cell>
          <cell r="BF15">
            <v>4152</v>
          </cell>
          <cell r="BG15">
            <v>10712</v>
          </cell>
          <cell r="BH15">
            <v>116185</v>
          </cell>
          <cell r="BI15">
            <v>94233</v>
          </cell>
          <cell r="BJ15">
            <v>210418</v>
          </cell>
        </row>
        <row r="16">
          <cell r="U16">
            <v>884217</v>
          </cell>
          <cell r="V16">
            <v>836201</v>
          </cell>
          <cell r="W16">
            <v>1720418</v>
          </cell>
          <cell r="AG16">
            <v>176243</v>
          </cell>
          <cell r="AH16">
            <v>125681</v>
          </cell>
          <cell r="AI16">
            <v>301924</v>
          </cell>
          <cell r="AS16">
            <v>52158</v>
          </cell>
          <cell r="AT16">
            <v>35081</v>
          </cell>
          <cell r="AU16">
            <v>87239</v>
          </cell>
          <cell r="AV16">
            <v>1112618</v>
          </cell>
          <cell r="AW16">
            <v>996963</v>
          </cell>
          <cell r="AX16">
            <v>2109581</v>
          </cell>
          <cell r="BE16">
            <v>8535</v>
          </cell>
          <cell r="BF16">
            <v>5006</v>
          </cell>
          <cell r="BG16">
            <v>13541</v>
          </cell>
          <cell r="BH16">
            <v>1121153</v>
          </cell>
          <cell r="BI16">
            <v>1001969</v>
          </cell>
          <cell r="BJ16">
            <v>2123122</v>
          </cell>
        </row>
        <row r="17">
          <cell r="U17">
            <v>225607</v>
          </cell>
          <cell r="V17">
            <v>211348</v>
          </cell>
          <cell r="W17">
            <v>436955</v>
          </cell>
          <cell r="AG17">
            <v>116392</v>
          </cell>
          <cell r="AH17">
            <v>105164</v>
          </cell>
          <cell r="AI17">
            <v>221556</v>
          </cell>
          <cell r="AS17">
            <v>59776</v>
          </cell>
          <cell r="AT17">
            <v>52870</v>
          </cell>
          <cell r="AU17">
            <v>112646</v>
          </cell>
          <cell r="AV17">
            <v>401775</v>
          </cell>
          <cell r="AW17">
            <v>369382</v>
          </cell>
          <cell r="AX17">
            <v>771157</v>
          </cell>
          <cell r="BE17">
            <v>30369</v>
          </cell>
          <cell r="BF17">
            <v>24578</v>
          </cell>
          <cell r="BG17">
            <v>54947</v>
          </cell>
          <cell r="BH17">
            <v>432144</v>
          </cell>
          <cell r="BI17">
            <v>393960</v>
          </cell>
          <cell r="BJ17">
            <v>826104</v>
          </cell>
        </row>
        <row r="18">
          <cell r="U18">
            <v>22689</v>
          </cell>
          <cell r="V18">
            <v>20953</v>
          </cell>
          <cell r="W18">
            <v>43642</v>
          </cell>
          <cell r="AG18">
            <v>12909</v>
          </cell>
          <cell r="AH18">
            <v>11999</v>
          </cell>
          <cell r="AI18">
            <v>24908</v>
          </cell>
          <cell r="AS18">
            <v>5302</v>
          </cell>
          <cell r="AT18">
            <v>5402</v>
          </cell>
          <cell r="AU18">
            <v>10704</v>
          </cell>
          <cell r="AV18">
            <v>40900</v>
          </cell>
          <cell r="AW18">
            <v>38354</v>
          </cell>
          <cell r="AX18">
            <v>79254</v>
          </cell>
          <cell r="BE18">
            <v>2938</v>
          </cell>
          <cell r="BF18">
            <v>3486</v>
          </cell>
          <cell r="BG18">
            <v>6424</v>
          </cell>
          <cell r="BH18">
            <v>43838</v>
          </cell>
          <cell r="BI18">
            <v>41840</v>
          </cell>
          <cell r="BJ18">
            <v>85678</v>
          </cell>
        </row>
        <row r="19">
          <cell r="U19">
            <v>1378037</v>
          </cell>
          <cell r="V19">
            <v>1368895</v>
          </cell>
          <cell r="W19">
            <v>2746932</v>
          </cell>
          <cell r="AG19">
            <v>438773</v>
          </cell>
          <cell r="AH19">
            <v>423188</v>
          </cell>
          <cell r="AI19">
            <v>861961</v>
          </cell>
          <cell r="AS19">
            <v>175342</v>
          </cell>
          <cell r="AT19">
            <v>100552</v>
          </cell>
          <cell r="AU19">
            <v>275894</v>
          </cell>
          <cell r="AV19">
            <v>1992152</v>
          </cell>
          <cell r="AW19">
            <v>1892635</v>
          </cell>
          <cell r="AX19">
            <v>3884787</v>
          </cell>
          <cell r="BE19">
            <v>87828</v>
          </cell>
          <cell r="BF19">
            <v>49492</v>
          </cell>
          <cell r="BG19">
            <v>137320</v>
          </cell>
          <cell r="BH19">
            <v>2079980</v>
          </cell>
          <cell r="BI19">
            <v>1942127</v>
          </cell>
          <cell r="BJ19">
            <v>4022107</v>
          </cell>
        </row>
        <row r="20">
          <cell r="U20">
            <v>692114</v>
          </cell>
          <cell r="V20">
            <v>628135</v>
          </cell>
          <cell r="W20">
            <v>1320249</v>
          </cell>
          <cell r="AG20">
            <v>283401</v>
          </cell>
          <cell r="AH20">
            <v>242816</v>
          </cell>
          <cell r="AI20">
            <v>526217</v>
          </cell>
          <cell r="AS20">
            <v>116026</v>
          </cell>
          <cell r="AT20">
            <v>75754</v>
          </cell>
          <cell r="AU20">
            <v>191780</v>
          </cell>
          <cell r="AV20">
            <v>1091541</v>
          </cell>
          <cell r="AW20">
            <v>946705</v>
          </cell>
          <cell r="AX20">
            <v>2038246</v>
          </cell>
          <cell r="BE20">
            <v>93094</v>
          </cell>
          <cell r="BF20">
            <v>71895</v>
          </cell>
          <cell r="BG20">
            <v>164989</v>
          </cell>
          <cell r="BH20">
            <v>1184635</v>
          </cell>
          <cell r="BI20">
            <v>1018600</v>
          </cell>
          <cell r="BJ20">
            <v>2203235</v>
          </cell>
        </row>
        <row r="21">
          <cell r="U21">
            <v>72726</v>
          </cell>
          <cell r="V21">
            <v>59113</v>
          </cell>
          <cell r="W21">
            <v>131839</v>
          </cell>
          <cell r="AG21">
            <v>21520</v>
          </cell>
          <cell r="AH21">
            <v>17559</v>
          </cell>
          <cell r="AI21">
            <v>39079</v>
          </cell>
          <cell r="AS21">
            <v>11208</v>
          </cell>
          <cell r="AT21">
            <v>9062</v>
          </cell>
          <cell r="AU21">
            <v>20270</v>
          </cell>
          <cell r="AV21">
            <v>105454</v>
          </cell>
          <cell r="AW21">
            <v>85734</v>
          </cell>
          <cell r="AX21">
            <v>191188</v>
          </cell>
          <cell r="BE21">
            <v>2909</v>
          </cell>
          <cell r="BF21">
            <v>2372</v>
          </cell>
          <cell r="BG21">
            <v>5281</v>
          </cell>
          <cell r="BH21">
            <v>108363</v>
          </cell>
          <cell r="BI21">
            <v>88106</v>
          </cell>
          <cell r="BJ21">
            <v>196469</v>
          </cell>
        </row>
        <row r="22">
          <cell r="U22">
            <v>221506</v>
          </cell>
          <cell r="V22">
            <v>219393</v>
          </cell>
          <cell r="W22">
            <v>440899</v>
          </cell>
          <cell r="AG22">
            <v>64775</v>
          </cell>
          <cell r="AH22">
            <v>72120</v>
          </cell>
          <cell r="AI22">
            <v>136895</v>
          </cell>
          <cell r="AS22">
            <v>23188</v>
          </cell>
          <cell r="AT22">
            <v>25753</v>
          </cell>
          <cell r="AU22">
            <v>48941</v>
          </cell>
          <cell r="AV22">
            <v>309469</v>
          </cell>
          <cell r="AW22">
            <v>317266</v>
          </cell>
          <cell r="AX22">
            <v>626735</v>
          </cell>
          <cell r="BE22">
            <v>5213</v>
          </cell>
          <cell r="BF22">
            <v>6493</v>
          </cell>
          <cell r="BG22">
            <v>11706</v>
          </cell>
          <cell r="BH22">
            <v>314682</v>
          </cell>
          <cell r="BI22">
            <v>323759</v>
          </cell>
          <cell r="BJ22">
            <v>638441</v>
          </cell>
        </row>
        <row r="23">
          <cell r="U23">
            <v>73087</v>
          </cell>
          <cell r="V23">
            <v>66474</v>
          </cell>
          <cell r="W23">
            <v>139561</v>
          </cell>
          <cell r="AG23">
            <v>31106</v>
          </cell>
          <cell r="AH23">
            <v>28863</v>
          </cell>
          <cell r="AI23">
            <v>59969</v>
          </cell>
          <cell r="AS23">
            <v>14890</v>
          </cell>
          <cell r="AT23">
            <v>14993</v>
          </cell>
          <cell r="AU23">
            <v>29883</v>
          </cell>
          <cell r="AV23">
            <v>119083</v>
          </cell>
          <cell r="AW23">
            <v>110330</v>
          </cell>
          <cell r="AX23">
            <v>229413</v>
          </cell>
          <cell r="BE23">
            <v>8476</v>
          </cell>
          <cell r="BF23">
            <v>8238</v>
          </cell>
          <cell r="BG23">
            <v>16714</v>
          </cell>
          <cell r="BH23">
            <v>127559</v>
          </cell>
          <cell r="BI23">
            <v>118568</v>
          </cell>
          <cell r="BJ23">
            <v>246127</v>
          </cell>
        </row>
        <row r="24">
          <cell r="U24">
            <v>107526</v>
          </cell>
          <cell r="V24">
            <v>99190</v>
          </cell>
          <cell r="W24">
            <v>206716</v>
          </cell>
          <cell r="AG24">
            <v>43593</v>
          </cell>
          <cell r="AH24">
            <v>40310</v>
          </cell>
          <cell r="AI24">
            <v>83903</v>
          </cell>
          <cell r="AS24">
            <v>15585</v>
          </cell>
          <cell r="AT24">
            <v>15356</v>
          </cell>
          <cell r="AU24">
            <v>30941</v>
          </cell>
          <cell r="AV24">
            <v>166704</v>
          </cell>
          <cell r="AW24">
            <v>154856</v>
          </cell>
          <cell r="AX24">
            <v>321560</v>
          </cell>
          <cell r="BE24">
            <v>10269</v>
          </cell>
          <cell r="BF24">
            <v>9227</v>
          </cell>
          <cell r="BG24">
            <v>19496</v>
          </cell>
          <cell r="BH24">
            <v>176973</v>
          </cell>
          <cell r="BI24">
            <v>164083</v>
          </cell>
          <cell r="BJ24">
            <v>341056</v>
          </cell>
        </row>
        <row r="25">
          <cell r="U25">
            <v>679605</v>
          </cell>
          <cell r="V25">
            <v>650906</v>
          </cell>
          <cell r="W25">
            <v>1330511</v>
          </cell>
          <cell r="AG25">
            <v>213371</v>
          </cell>
          <cell r="AH25">
            <v>179644</v>
          </cell>
          <cell r="AI25">
            <v>393015</v>
          </cell>
          <cell r="AS25">
            <v>72991</v>
          </cell>
          <cell r="AT25">
            <v>58171</v>
          </cell>
          <cell r="AU25">
            <v>131162</v>
          </cell>
          <cell r="AV25">
            <v>965967</v>
          </cell>
          <cell r="AW25">
            <v>888721</v>
          </cell>
          <cell r="AX25">
            <v>1854688</v>
          </cell>
          <cell r="BE25">
            <v>29889</v>
          </cell>
          <cell r="BF25">
            <v>20256</v>
          </cell>
          <cell r="BG25">
            <v>50145</v>
          </cell>
          <cell r="BH25">
            <v>995856</v>
          </cell>
          <cell r="BI25">
            <v>908977</v>
          </cell>
          <cell r="BJ25">
            <v>1904833</v>
          </cell>
        </row>
        <row r="27">
          <cell r="U27">
            <v>712561</v>
          </cell>
          <cell r="V27">
            <v>606189</v>
          </cell>
          <cell r="W27">
            <v>1318750</v>
          </cell>
          <cell r="AG27">
            <v>285657</v>
          </cell>
          <cell r="AH27">
            <v>190610</v>
          </cell>
          <cell r="AI27">
            <v>476267</v>
          </cell>
          <cell r="AS27">
            <v>126688</v>
          </cell>
          <cell r="AT27">
            <v>77663</v>
          </cell>
          <cell r="AU27">
            <v>204351</v>
          </cell>
          <cell r="AV27">
            <v>1124906</v>
          </cell>
          <cell r="AW27">
            <v>874462</v>
          </cell>
          <cell r="AX27">
            <v>1999368</v>
          </cell>
          <cell r="BE27">
            <v>71235</v>
          </cell>
          <cell r="BF27">
            <v>37163</v>
          </cell>
          <cell r="BG27">
            <v>108398</v>
          </cell>
          <cell r="BH27">
            <v>1196141</v>
          </cell>
          <cell r="BI27">
            <v>911625</v>
          </cell>
          <cell r="BJ27">
            <v>2107766</v>
          </cell>
        </row>
        <row r="28">
          <cell r="U28">
            <v>14915</v>
          </cell>
          <cell r="V28">
            <v>15207</v>
          </cell>
          <cell r="W28">
            <v>30122</v>
          </cell>
          <cell r="AG28">
            <v>5298</v>
          </cell>
          <cell r="AH28">
            <v>6713</v>
          </cell>
          <cell r="AI28">
            <v>12011</v>
          </cell>
          <cell r="AS28">
            <v>2001</v>
          </cell>
          <cell r="AT28">
            <v>2565</v>
          </cell>
          <cell r="AU28">
            <v>4566</v>
          </cell>
          <cell r="AV28">
            <v>22214</v>
          </cell>
          <cell r="AW28">
            <v>24485</v>
          </cell>
          <cell r="AX28">
            <v>46699</v>
          </cell>
          <cell r="BE28">
            <v>1371</v>
          </cell>
          <cell r="BF28">
            <v>1664</v>
          </cell>
          <cell r="BG28">
            <v>3035</v>
          </cell>
          <cell r="BH28">
            <v>23585</v>
          </cell>
          <cell r="BI28">
            <v>26149</v>
          </cell>
          <cell r="BJ28">
            <v>49734</v>
          </cell>
        </row>
        <row r="29">
          <cell r="U29">
            <v>56121</v>
          </cell>
          <cell r="V29">
            <v>51031</v>
          </cell>
          <cell r="W29">
            <v>107152</v>
          </cell>
          <cell r="AG29">
            <v>22640</v>
          </cell>
          <cell r="AH29">
            <v>18941</v>
          </cell>
          <cell r="AI29">
            <v>41581</v>
          </cell>
          <cell r="AS29">
            <v>12832</v>
          </cell>
          <cell r="AT29">
            <v>14745</v>
          </cell>
          <cell r="AU29">
            <v>27577</v>
          </cell>
          <cell r="AV29">
            <v>91593</v>
          </cell>
          <cell r="AW29">
            <v>84717</v>
          </cell>
          <cell r="AX29">
            <v>176310</v>
          </cell>
          <cell r="BE29">
            <v>5013</v>
          </cell>
          <cell r="BF29">
            <v>4306</v>
          </cell>
          <cell r="BG29">
            <v>9319</v>
          </cell>
          <cell r="BH29">
            <v>96606</v>
          </cell>
          <cell r="BI29">
            <v>89023</v>
          </cell>
          <cell r="BJ29">
            <v>185629</v>
          </cell>
        </row>
        <row r="30">
          <cell r="U30">
            <v>99751</v>
          </cell>
          <cell r="V30">
            <v>93553</v>
          </cell>
          <cell r="W30">
            <v>193304</v>
          </cell>
          <cell r="AG30">
            <v>38884</v>
          </cell>
          <cell r="AH30">
            <v>34352</v>
          </cell>
          <cell r="AI30">
            <v>73236</v>
          </cell>
          <cell r="AS30">
            <v>17859</v>
          </cell>
          <cell r="AT30">
            <v>15569</v>
          </cell>
          <cell r="AU30">
            <v>33428</v>
          </cell>
          <cell r="AV30">
            <v>156494</v>
          </cell>
          <cell r="AW30">
            <v>143474</v>
          </cell>
          <cell r="AX30">
            <v>299968</v>
          </cell>
          <cell r="BE30">
            <v>5767</v>
          </cell>
          <cell r="BF30">
            <v>4028</v>
          </cell>
          <cell r="BG30">
            <v>9795</v>
          </cell>
          <cell r="BH30">
            <v>162261</v>
          </cell>
          <cell r="BI30">
            <v>147502</v>
          </cell>
          <cell r="BJ30">
            <v>309763</v>
          </cell>
        </row>
        <row r="31">
          <cell r="U31">
            <v>74744</v>
          </cell>
          <cell r="V31">
            <v>71647</v>
          </cell>
          <cell r="W31">
            <v>146391</v>
          </cell>
          <cell r="AG31">
            <v>25791</v>
          </cell>
          <cell r="AH31">
            <v>23089</v>
          </cell>
          <cell r="AI31">
            <v>48880</v>
          </cell>
          <cell r="AS31">
            <v>22851</v>
          </cell>
          <cell r="AT31">
            <v>15618</v>
          </cell>
          <cell r="AU31">
            <v>38469</v>
          </cell>
          <cell r="AV31">
            <v>123386</v>
          </cell>
          <cell r="AW31">
            <v>110354</v>
          </cell>
          <cell r="AX31">
            <v>233740</v>
          </cell>
          <cell r="BE31">
            <v>9753</v>
          </cell>
          <cell r="BF31">
            <v>7370</v>
          </cell>
          <cell r="BG31">
            <v>17123</v>
          </cell>
          <cell r="BH31">
            <v>133139</v>
          </cell>
          <cell r="BI31">
            <v>117724</v>
          </cell>
          <cell r="BJ31">
            <v>250863</v>
          </cell>
        </row>
        <row r="32">
          <cell r="U32">
            <v>24710</v>
          </cell>
          <cell r="V32">
            <v>22484</v>
          </cell>
          <cell r="W32">
            <v>47194</v>
          </cell>
          <cell r="AG32">
            <v>11322</v>
          </cell>
          <cell r="AH32">
            <v>11125</v>
          </cell>
          <cell r="AI32">
            <v>22447</v>
          </cell>
          <cell r="AS32">
            <v>6382</v>
          </cell>
          <cell r="AT32">
            <v>5795</v>
          </cell>
          <cell r="AU32">
            <v>12177</v>
          </cell>
          <cell r="AV32">
            <v>42414</v>
          </cell>
          <cell r="AW32">
            <v>39404</v>
          </cell>
          <cell r="AX32">
            <v>81818</v>
          </cell>
          <cell r="BE32">
            <v>4269</v>
          </cell>
          <cell r="BF32">
            <v>4004</v>
          </cell>
          <cell r="BG32">
            <v>8273</v>
          </cell>
          <cell r="BH32">
            <v>46683</v>
          </cell>
          <cell r="BI32">
            <v>43408</v>
          </cell>
          <cell r="BJ32">
            <v>90091</v>
          </cell>
        </row>
        <row r="33">
          <cell r="U33">
            <v>371314</v>
          </cell>
          <cell r="V33">
            <v>360062</v>
          </cell>
          <cell r="W33">
            <v>731376</v>
          </cell>
          <cell r="AG33">
            <v>123029</v>
          </cell>
          <cell r="AH33">
            <v>113125</v>
          </cell>
          <cell r="AI33">
            <v>236154</v>
          </cell>
          <cell r="AS33">
            <v>49086</v>
          </cell>
          <cell r="AT33">
            <v>40760</v>
          </cell>
          <cell r="AU33">
            <v>89846</v>
          </cell>
          <cell r="AV33">
            <v>543429</v>
          </cell>
          <cell r="AW33">
            <v>513947</v>
          </cell>
          <cell r="AX33">
            <v>1057376</v>
          </cell>
          <cell r="BE33">
            <v>21333</v>
          </cell>
          <cell r="BF33">
            <v>12774</v>
          </cell>
          <cell r="BG33">
            <v>34107</v>
          </cell>
          <cell r="BH33">
            <v>564762</v>
          </cell>
          <cell r="BI33">
            <v>526721</v>
          </cell>
          <cell r="BJ33">
            <v>1091483</v>
          </cell>
        </row>
        <row r="34">
          <cell r="U34">
            <v>1241</v>
          </cell>
          <cell r="V34">
            <v>1171</v>
          </cell>
          <cell r="W34">
            <v>2412</v>
          </cell>
          <cell r="AG34">
            <v>930</v>
          </cell>
          <cell r="AH34">
            <v>816</v>
          </cell>
          <cell r="AI34">
            <v>1746</v>
          </cell>
          <cell r="AS34">
            <v>416</v>
          </cell>
          <cell r="AT34">
            <v>431</v>
          </cell>
          <cell r="AU34">
            <v>847</v>
          </cell>
          <cell r="AV34">
            <v>2587</v>
          </cell>
          <cell r="AW34">
            <v>2418</v>
          </cell>
          <cell r="AX34">
            <v>5005</v>
          </cell>
          <cell r="BE34">
            <v>309</v>
          </cell>
          <cell r="BF34">
            <v>381</v>
          </cell>
          <cell r="BG34">
            <v>690</v>
          </cell>
          <cell r="BH34">
            <v>2896</v>
          </cell>
          <cell r="BI34">
            <v>2799</v>
          </cell>
          <cell r="BJ34">
            <v>5695</v>
          </cell>
        </row>
        <row r="35">
          <cell r="U35">
            <v>0</v>
          </cell>
          <cell r="V35">
            <v>0</v>
          </cell>
          <cell r="W35">
            <v>0</v>
          </cell>
          <cell r="AG35">
            <v>0</v>
          </cell>
          <cell r="AH35">
            <v>0</v>
          </cell>
          <cell r="AI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</row>
        <row r="36">
          <cell r="U36">
            <v>14211</v>
          </cell>
          <cell r="V36">
            <v>13479</v>
          </cell>
          <cell r="W36">
            <v>27690</v>
          </cell>
          <cell r="AG36">
            <v>6999</v>
          </cell>
          <cell r="AH36">
            <v>5289</v>
          </cell>
          <cell r="AI36">
            <v>12288</v>
          </cell>
          <cell r="AS36">
            <v>2546</v>
          </cell>
          <cell r="AT36">
            <v>1721</v>
          </cell>
          <cell r="AU36">
            <v>4267</v>
          </cell>
          <cell r="AV36">
            <v>23756</v>
          </cell>
          <cell r="AW36">
            <v>20489</v>
          </cell>
          <cell r="AX36">
            <v>44245</v>
          </cell>
          <cell r="BE36">
            <v>1142</v>
          </cell>
          <cell r="BF36">
            <v>665</v>
          </cell>
          <cell r="BG36">
            <v>1807</v>
          </cell>
          <cell r="BH36">
            <v>24898</v>
          </cell>
          <cell r="BI36">
            <v>21154</v>
          </cell>
          <cell r="BJ36">
            <v>46052</v>
          </cell>
        </row>
        <row r="37">
          <cell r="U37">
            <v>1108</v>
          </cell>
          <cell r="V37">
            <v>970</v>
          </cell>
          <cell r="W37">
            <v>2078</v>
          </cell>
          <cell r="AG37">
            <v>625</v>
          </cell>
          <cell r="AH37">
            <v>486</v>
          </cell>
          <cell r="AI37">
            <v>1111</v>
          </cell>
          <cell r="AS37">
            <v>266</v>
          </cell>
          <cell r="AT37">
            <v>254</v>
          </cell>
          <cell r="AU37">
            <v>520</v>
          </cell>
          <cell r="AV37">
            <v>1999</v>
          </cell>
          <cell r="AW37">
            <v>1710</v>
          </cell>
          <cell r="AX37">
            <v>3709</v>
          </cell>
          <cell r="BE37">
            <v>125</v>
          </cell>
          <cell r="BF37">
            <v>121</v>
          </cell>
          <cell r="BG37">
            <v>246</v>
          </cell>
          <cell r="BH37">
            <v>2124</v>
          </cell>
          <cell r="BI37">
            <v>1831</v>
          </cell>
          <cell r="BJ37">
            <v>3955</v>
          </cell>
        </row>
        <row r="38">
          <cell r="U38">
            <v>3117</v>
          </cell>
          <cell r="V38">
            <v>2636</v>
          </cell>
          <cell r="W38">
            <v>5753</v>
          </cell>
          <cell r="AG38">
            <v>1652</v>
          </cell>
          <cell r="AH38">
            <v>1423</v>
          </cell>
          <cell r="AI38">
            <v>3075</v>
          </cell>
          <cell r="AS38">
            <v>1035</v>
          </cell>
          <cell r="AT38">
            <v>881</v>
          </cell>
          <cell r="AU38">
            <v>1916</v>
          </cell>
          <cell r="AV38">
            <v>5804</v>
          </cell>
          <cell r="AW38">
            <v>4940</v>
          </cell>
          <cell r="AX38">
            <v>10744</v>
          </cell>
          <cell r="BE38">
            <v>882</v>
          </cell>
          <cell r="BF38">
            <v>873</v>
          </cell>
          <cell r="BG38">
            <v>1755</v>
          </cell>
          <cell r="BH38">
            <v>6686</v>
          </cell>
          <cell r="BI38">
            <v>5813</v>
          </cell>
          <cell r="BJ38">
            <v>12499</v>
          </cell>
        </row>
        <row r="39">
          <cell r="U39">
            <v>3314</v>
          </cell>
          <cell r="V39">
            <v>3320</v>
          </cell>
          <cell r="W39">
            <v>6634</v>
          </cell>
          <cell r="AG39">
            <v>1712</v>
          </cell>
          <cell r="AH39">
            <v>1730</v>
          </cell>
          <cell r="AI39">
            <v>3442</v>
          </cell>
          <cell r="AS39">
            <v>1245</v>
          </cell>
          <cell r="AT39">
            <v>1219</v>
          </cell>
          <cell r="AU39">
            <v>2464</v>
          </cell>
          <cell r="AV39">
            <v>6271</v>
          </cell>
          <cell r="AW39">
            <v>6269</v>
          </cell>
          <cell r="AX39">
            <v>12540</v>
          </cell>
          <cell r="BE39">
            <v>1152</v>
          </cell>
          <cell r="BF39">
            <v>1138</v>
          </cell>
          <cell r="BG39">
            <v>2290</v>
          </cell>
          <cell r="BH39">
            <v>7423</v>
          </cell>
          <cell r="BI39">
            <v>7407</v>
          </cell>
          <cell r="BJ39">
            <v>14830</v>
          </cell>
        </row>
        <row r="41">
          <cell r="U41">
            <v>7784010</v>
          </cell>
          <cell r="V41">
            <v>7276173</v>
          </cell>
          <cell r="W41">
            <v>15060183</v>
          </cell>
          <cell r="AG41">
            <v>2690595</v>
          </cell>
          <cell r="AH41">
            <v>2318993</v>
          </cell>
          <cell r="AI41">
            <v>5009588</v>
          </cell>
          <cell r="AJ41">
            <v>10474605</v>
          </cell>
          <cell r="AK41">
            <v>9595166</v>
          </cell>
          <cell r="AL41">
            <v>20069771</v>
          </cell>
          <cell r="AS41">
            <v>1154577</v>
          </cell>
          <cell r="AT41">
            <v>875322</v>
          </cell>
          <cell r="AU41">
            <v>2029899</v>
          </cell>
          <cell r="AV41">
            <v>11629182</v>
          </cell>
          <cell r="AW41">
            <v>10470488</v>
          </cell>
          <cell r="AX41">
            <v>22099670</v>
          </cell>
          <cell r="BE41">
            <v>597113</v>
          </cell>
          <cell r="BF41">
            <v>410871</v>
          </cell>
          <cell r="BG41">
            <v>1007984</v>
          </cell>
          <cell r="BH41">
            <v>12226295</v>
          </cell>
          <cell r="BI41">
            <v>10881359</v>
          </cell>
          <cell r="BJ41">
            <v>23107654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"/>
      <sheetName val="InstMan"/>
      <sheetName val="EnrlAll"/>
      <sheetName val="EnrlSC"/>
      <sheetName val="EnrlST"/>
      <sheetName val="EnrlOS"/>
      <sheetName val="Teacher"/>
      <sheetName val="TrainedTeacher"/>
      <sheetName val="F-MTeacher"/>
      <sheetName val="PTR"/>
      <sheetName val="GERAll"/>
      <sheetName val="GERSC"/>
      <sheetName val="GERST"/>
      <sheetName val="GPI"/>
      <sheetName val="GPISC"/>
      <sheetName val="GPIST"/>
      <sheetName val="G-B"/>
      <sheetName val="G-BSC"/>
      <sheetName val="G-BST"/>
      <sheetName val="DropOut"/>
      <sheetName val="Total Population "/>
      <sheetName val="SC-Population"/>
      <sheetName val="ST-Population"/>
      <sheetName val="Enrl-BackSeries"/>
      <sheetName val="Enrl-School"/>
      <sheetName val="PTR (2)"/>
      <sheetName val="2001Popu"/>
      <sheetName val="2001PopuSC"/>
      <sheetName val="SC%"/>
      <sheetName val="2001PopuST"/>
      <sheetName val="ST%"/>
      <sheetName val="EnrlOSWorkingSheet"/>
      <sheetName val="EnrlOS2009-10"/>
      <sheetName val="EnrlOS2010-11 (2)"/>
      <sheetName val="EnrlAll (2)"/>
      <sheetName val="EnrlAllSC (2)"/>
      <sheetName val="EnrlAllST (2)"/>
      <sheetName val="Inst (2)"/>
      <sheetName val="InstMan (2)"/>
      <sheetName val="GERAll (2)"/>
      <sheetName val="GERSC (2)"/>
      <sheetName val="GERST (2)"/>
      <sheetName val="DropOutAll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E41">
            <v>131.36379535207107</v>
          </cell>
          <cell r="H41">
            <v>92.237272363158993</v>
          </cell>
          <cell r="N41">
            <v>70.71812793418087</v>
          </cell>
          <cell r="T41">
            <v>38.510723711956111</v>
          </cell>
        </row>
      </sheetData>
      <sheetData sheetId="12">
        <row r="41">
          <cell r="E41">
            <v>136.96183348144382</v>
          </cell>
          <cell r="H41">
            <v>88.880260604953548</v>
          </cell>
          <cell r="N41">
            <v>53.25606515288235</v>
          </cell>
          <cell r="T41">
            <v>28.802414923927071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"/>
      <sheetName val="InstManag"/>
      <sheetName val="EnrlAll"/>
      <sheetName val="EnrlSC"/>
      <sheetName val="EnrlST"/>
      <sheetName val="EnrlOS"/>
      <sheetName val="Teacher"/>
      <sheetName val="TrainedTeacher"/>
      <sheetName val="F-MTeacher"/>
      <sheetName val="PTR"/>
      <sheetName val="GERAll"/>
      <sheetName val="GERSC"/>
      <sheetName val="GERST"/>
      <sheetName val="GPI"/>
      <sheetName val="GPISC"/>
      <sheetName val="GPIST"/>
      <sheetName val="G-B"/>
      <sheetName val="G-BSC"/>
      <sheetName val="G-BST"/>
      <sheetName val="DropOut"/>
      <sheetName val="Total Population "/>
      <sheetName val="SC-Population"/>
      <sheetName val="ST-Population"/>
      <sheetName val="Enrl-BackSeries"/>
      <sheetName val="Enrl-School"/>
    </sheetNames>
    <sheetDataSet>
      <sheetData sheetId="0"/>
      <sheetData sheetId="1">
        <row r="46">
          <cell r="C46" t="str">
            <v>Government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5">
          <cell r="D45" t="str">
            <v>All</v>
          </cell>
        </row>
      </sheetData>
      <sheetData sheetId="11"/>
      <sheetData sheetId="12"/>
      <sheetData sheetId="13">
        <row r="41">
          <cell r="C41" t="str">
            <v>Classes
I-V</v>
          </cell>
          <cell r="D41" t="str">
            <v>Classes
VI-VIII</v>
          </cell>
          <cell r="E41" t="str">
            <v>Classes
I-VIII</v>
          </cell>
          <cell r="F41" t="str">
            <v>Classes
IX-X</v>
          </cell>
          <cell r="G41" t="str">
            <v>Classes
I-X</v>
          </cell>
          <cell r="H41" t="str">
            <v>Classes
XI-XII</v>
          </cell>
          <cell r="I41" t="str">
            <v>Classes
IX-XII</v>
          </cell>
          <cell r="J41" t="str">
            <v>Classes
I-XII</v>
          </cell>
        </row>
        <row r="42">
          <cell r="B42" t="str">
            <v>All</v>
          </cell>
          <cell r="C42">
            <v>1</v>
          </cell>
          <cell r="D42">
            <v>0.94</v>
          </cell>
          <cell r="E42">
            <v>0.98</v>
          </cell>
          <cell r="F42">
            <v>0.88</v>
          </cell>
          <cell r="G42">
            <v>0.96</v>
          </cell>
          <cell r="H42">
            <v>0.87</v>
          </cell>
          <cell r="I42">
            <v>0.88</v>
          </cell>
          <cell r="J42">
            <v>0.96</v>
          </cell>
        </row>
        <row r="43">
          <cell r="B43" t="str">
            <v>SC</v>
          </cell>
          <cell r="C43">
            <v>1</v>
          </cell>
          <cell r="D43">
            <v>0.97</v>
          </cell>
          <cell r="E43">
            <v>0.99</v>
          </cell>
          <cell r="F43">
            <v>0.9</v>
          </cell>
          <cell r="G43">
            <v>0.98</v>
          </cell>
          <cell r="H43">
            <v>0.9</v>
          </cell>
          <cell r="I43">
            <v>0.9</v>
          </cell>
          <cell r="J43">
            <v>0.98</v>
          </cell>
        </row>
        <row r="44">
          <cell r="B44" t="str">
            <v>ST</v>
          </cell>
          <cell r="C44">
            <v>0.98</v>
          </cell>
          <cell r="D44">
            <v>0.93</v>
          </cell>
          <cell r="E44">
            <v>0.97</v>
          </cell>
          <cell r="F44">
            <v>0.83</v>
          </cell>
          <cell r="G44">
            <v>0.96</v>
          </cell>
          <cell r="H44">
            <v>0.72</v>
          </cell>
          <cell r="I44">
            <v>0.79</v>
          </cell>
          <cell r="J44">
            <v>0.94</v>
          </cell>
        </row>
      </sheetData>
      <sheetData sheetId="14"/>
      <sheetData sheetId="15"/>
      <sheetData sheetId="16"/>
      <sheetData sheetId="17"/>
      <sheetData sheetId="18"/>
      <sheetData sheetId="19">
        <row r="44">
          <cell r="D44" t="str">
            <v>Boys</v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 Instt"/>
      <sheetName val="Instt-Man."/>
      <sheetName val="Cl Enr (2)"/>
      <sheetName val="Cl Enr. sc (2)"/>
      <sheetName val="Cl Enr. st (2)"/>
      <sheetName val="ENRL OPEN SCH"/>
      <sheetName val=" TEACHER"/>
      <sheetName val="% of Trained Teacher"/>
      <sheetName val="No. of Female Teachers"/>
      <sheetName val="PTR"/>
      <sheetName val="GER-RT"/>
      <sheetName val="GER SC-RT "/>
      <sheetName val="GER ST _RT"/>
      <sheetName val="GPI"/>
      <sheetName val="GPI SC"/>
      <sheetName val="GPI ST"/>
      <sheetName val="G PER 100 B"/>
      <sheetName val="G PER 100 B SC"/>
      <sheetName val="G PER 100 B ST"/>
      <sheetName val="Drop "/>
      <sheetName val="Drop sc "/>
      <sheetName val="Drop st "/>
      <sheetName val="pop GEN "/>
      <sheetName val="pop SC "/>
      <sheetName val="pop ST"/>
    </sheetNames>
    <sheetDataSet>
      <sheetData sheetId="0"/>
      <sheetData sheetId="1">
        <row r="5">
          <cell r="F5">
            <v>4364</v>
          </cell>
        </row>
      </sheetData>
      <sheetData sheetId="2">
        <row r="6">
          <cell r="C6">
            <v>853</v>
          </cell>
        </row>
      </sheetData>
      <sheetData sheetId="3"/>
      <sheetData sheetId="4">
        <row r="6">
          <cell r="C6">
            <v>30626</v>
          </cell>
        </row>
      </sheetData>
      <sheetData sheetId="5">
        <row r="6">
          <cell r="C6">
            <v>13798</v>
          </cell>
        </row>
      </sheetData>
      <sheetData sheetId="6"/>
      <sheetData sheetId="7"/>
      <sheetData sheetId="8"/>
      <sheetData sheetId="9"/>
      <sheetData sheetId="10">
        <row r="6">
          <cell r="C6">
            <v>33.969701547292779</v>
          </cell>
          <cell r="D6">
            <v>29.180417561225088</v>
          </cell>
          <cell r="E6">
            <v>26.597788558677575</v>
          </cell>
          <cell r="F6">
            <v>31.757594925484309</v>
          </cell>
        </row>
        <row r="7">
          <cell r="C7">
            <v>27.404560500183891</v>
          </cell>
          <cell r="D7">
            <v>21.355157278712507</v>
          </cell>
          <cell r="E7">
            <v>23.338052486187845</v>
          </cell>
          <cell r="F7">
            <v>20.861386138613863</v>
          </cell>
        </row>
        <row r="8">
          <cell r="C8">
            <v>25.723775601068567</v>
          </cell>
          <cell r="D8">
            <v>22.121697371008981</v>
          </cell>
          <cell r="E8">
            <v>20.784962700736187</v>
          </cell>
          <cell r="F8">
            <v>27.917474272001478</v>
          </cell>
        </row>
        <row r="9">
          <cell r="C9">
            <v>32.843358356629082</v>
          </cell>
          <cell r="D9">
            <v>59.343570507560663</v>
          </cell>
          <cell r="E9">
            <v>52.986086760708368</v>
          </cell>
          <cell r="F9">
            <v>79.87121544537078</v>
          </cell>
        </row>
        <row r="10">
          <cell r="C10">
            <v>21.353743419425502</v>
          </cell>
          <cell r="D10">
            <v>39.01638538423726</v>
          </cell>
          <cell r="E10">
            <v>23.396332993795721</v>
          </cell>
          <cell r="F10">
            <v>29.317330504926453</v>
          </cell>
        </row>
        <row r="11">
          <cell r="C11">
            <v>20.376575240919198</v>
          </cell>
          <cell r="D11">
            <v>18.088253573648228</v>
          </cell>
          <cell r="E11">
            <v>28.514115308151094</v>
          </cell>
          <cell r="F11">
            <v>26.004866803278688</v>
          </cell>
        </row>
        <row r="12">
          <cell r="C12">
            <v>40.688162745187277</v>
          </cell>
          <cell r="D12">
            <v>29.34859557776273</v>
          </cell>
          <cell r="E12">
            <v>36.273330491260623</v>
          </cell>
          <cell r="F12">
            <v>30.458305522182176</v>
          </cell>
        </row>
        <row r="13">
          <cell r="C13">
            <v>25.002185130097871</v>
          </cell>
          <cell r="D13">
            <v>26.427937315614258</v>
          </cell>
          <cell r="E13">
            <v>41.180743243243242</v>
          </cell>
          <cell r="F13">
            <v>51.676315956166469</v>
          </cell>
        </row>
        <row r="14">
          <cell r="C14">
            <v>22.367663606751556</v>
          </cell>
          <cell r="D14">
            <v>23.216265128379142</v>
          </cell>
          <cell r="E14">
            <v>13.032684870161971</v>
          </cell>
          <cell r="F14">
            <v>15.493044567510548</v>
          </cell>
        </row>
        <row r="15">
          <cell r="C15">
            <v>13.625452972037428</v>
          </cell>
          <cell r="D15">
            <v>13.734174221521481</v>
          </cell>
          <cell r="E15">
            <v>15.241788664702886</v>
          </cell>
          <cell r="F15">
            <v>22.802883319859877</v>
          </cell>
        </row>
        <row r="16">
          <cell r="C16">
            <v>46.666995316736504</v>
          </cell>
          <cell r="D16">
            <v>59.535628677271738</v>
          </cell>
          <cell r="E16">
            <v>54.678884758364312</v>
          </cell>
          <cell r="F16">
            <v>72.932029997823378</v>
          </cell>
        </row>
        <row r="17">
          <cell r="C17">
            <v>37.098828036961912</v>
          </cell>
          <cell r="D17">
            <v>23.543428033935143</v>
          </cell>
          <cell r="E17">
            <v>28.547798201297073</v>
          </cell>
          <cell r="F17">
            <v>18.216408496896918</v>
          </cell>
        </row>
        <row r="18">
          <cell r="C18">
            <v>27.275831809872031</v>
          </cell>
          <cell r="D18">
            <v>26.552362030450581</v>
          </cell>
          <cell r="E18">
            <v>25.684407286568788</v>
          </cell>
          <cell r="F18">
            <v>29.762260101325214</v>
          </cell>
        </row>
        <row r="19">
          <cell r="C19">
            <v>24.374380056471551</v>
          </cell>
          <cell r="D19">
            <v>32.197814603390988</v>
          </cell>
          <cell r="E19">
            <v>32.362266933529966</v>
          </cell>
          <cell r="F19">
            <v>40.935178147105752</v>
          </cell>
        </row>
        <row r="20">
          <cell r="C20">
            <v>69.4033211557622</v>
          </cell>
          <cell r="D20">
            <v>33.640121997335285</v>
          </cell>
          <cell r="E20">
            <v>31.967060149973999</v>
          </cell>
          <cell r="F20">
            <v>32.679843542361404</v>
          </cell>
        </row>
        <row r="21">
          <cell r="C21">
            <v>23.424817032601464</v>
          </cell>
          <cell r="D21">
            <v>26.947199999999999</v>
          </cell>
          <cell r="E21">
            <v>21.51657554961033</v>
          </cell>
          <cell r="F21">
            <v>33.218338333115952</v>
          </cell>
        </row>
        <row r="22">
          <cell r="C22">
            <v>20.50967261904762</v>
          </cell>
          <cell r="D22">
            <v>25.767831300392807</v>
          </cell>
          <cell r="E22">
            <v>17.53853513341129</v>
          </cell>
          <cell r="F22">
            <v>45.210512037978972</v>
          </cell>
        </row>
        <row r="23">
          <cell r="C23">
            <v>13.928921568627452</v>
          </cell>
          <cell r="D23">
            <v>12.668310407474696</v>
          </cell>
          <cell r="E23">
            <v>8.8281332628239024</v>
          </cell>
          <cell r="F23">
            <v>18.323109590657072</v>
          </cell>
        </row>
        <row r="24">
          <cell r="C24">
            <v>31.334586466165412</v>
          </cell>
          <cell r="D24">
            <v>24.193120096560047</v>
          </cell>
          <cell r="E24">
            <v>15.291523087525844</v>
          </cell>
          <cell r="F24">
            <v>19.559200603318249</v>
          </cell>
        </row>
        <row r="25">
          <cell r="C25">
            <v>15.604493272435501</v>
          </cell>
          <cell r="D25">
            <v>22.40953099265781</v>
          </cell>
          <cell r="E25">
            <v>26.943023744676186</v>
          </cell>
          <cell r="F25">
            <v>33.023422801034805</v>
          </cell>
        </row>
        <row r="26">
          <cell r="C26">
            <v>36.517421018697611</v>
          </cell>
          <cell r="D26">
            <v>29.47832965415747</v>
          </cell>
          <cell r="E26">
            <v>13.972596989866283</v>
          </cell>
          <cell r="F26">
            <v>34.683894876293458</v>
          </cell>
        </row>
        <row r="27">
          <cell r="C27">
            <v>28.543808226641243</v>
          </cell>
          <cell r="D27">
            <v>22.21668278975493</v>
          </cell>
          <cell r="E27">
            <v>28.309986108264443</v>
          </cell>
          <cell r="F27">
            <v>44.100652064872094</v>
          </cell>
        </row>
        <row r="28">
          <cell r="C28">
            <v>14.948490230905861</v>
          </cell>
          <cell r="D28">
            <v>8.3260582010582009</v>
          </cell>
          <cell r="E28">
            <v>14.883355764917003</v>
          </cell>
          <cell r="F28">
            <v>13.710261312938178</v>
          </cell>
        </row>
        <row r="29">
          <cell r="C29">
            <v>43.151139495500679</v>
          </cell>
          <cell r="D29">
            <v>38.434969142932573</v>
          </cell>
          <cell r="E29">
            <v>48.584186239129146</v>
          </cell>
          <cell r="F29">
            <v>42.618705728519053</v>
          </cell>
        </row>
        <row r="30">
          <cell r="C30">
            <v>25.561491724282423</v>
          </cell>
          <cell r="D30">
            <v>25.157171581769436</v>
          </cell>
          <cell r="E30">
            <v>15.819260659525311</v>
          </cell>
          <cell r="F30">
            <v>25.212449596774192</v>
          </cell>
        </row>
        <row r="31">
          <cell r="C31">
            <v>64.081295965016892</v>
          </cell>
          <cell r="D31">
            <v>57.383374286568639</v>
          </cell>
          <cell r="E31">
            <v>77.648431764417978</v>
          </cell>
          <cell r="F31">
            <v>67.481463535562966</v>
          </cell>
        </row>
        <row r="32">
          <cell r="C32">
            <v>14.984894123994065</v>
          </cell>
          <cell r="D32">
            <v>17.732454764146009</v>
          </cell>
          <cell r="E32">
            <v>27.042009178475968</v>
          </cell>
          <cell r="F32">
            <v>23.630143489049519</v>
          </cell>
        </row>
        <row r="33">
          <cell r="C33">
            <v>61.548257305595058</v>
          </cell>
          <cell r="D33">
            <v>50.891334250343881</v>
          </cell>
          <cell r="E33">
            <v>33.061488076018264</v>
          </cell>
          <cell r="F33">
            <v>34.170712233862794</v>
          </cell>
        </row>
        <row r="34">
          <cell r="C34">
            <v>19.074976122254061</v>
          </cell>
          <cell r="D34">
            <v>15.712342079689018</v>
          </cell>
          <cell r="E34">
            <v>13.711448598130842</v>
          </cell>
          <cell r="F34">
            <v>15.159603246167718</v>
          </cell>
        </row>
        <row r="35">
          <cell r="C35">
            <v>26.140350877192983</v>
          </cell>
          <cell r="D35">
            <v>38.143143143143142</v>
          </cell>
          <cell r="E35">
            <v>45.18980169971671</v>
          </cell>
          <cell r="F35">
            <v>23.285714285714285</v>
          </cell>
        </row>
        <row r="36">
          <cell r="C36">
            <v>28.561904761904763</v>
          </cell>
          <cell r="D36">
            <v>18.744444444444444</v>
          </cell>
          <cell r="E36">
            <v>33.029795158286781</v>
          </cell>
          <cell r="F36">
            <v>39.859719438877754</v>
          </cell>
        </row>
        <row r="37">
          <cell r="C37">
            <v>45.276923076923076</v>
          </cell>
          <cell r="D37">
            <v>18.21072796934866</v>
          </cell>
          <cell r="E37">
            <v>27.096330275229359</v>
          </cell>
          <cell r="F37">
            <v>43.70074349442379</v>
          </cell>
        </row>
        <row r="38">
          <cell r="C38">
            <v>31.670547710340099</v>
          </cell>
          <cell r="D38">
            <v>33.439366814284369</v>
          </cell>
          <cell r="E38">
            <v>29.690283678223928</v>
          </cell>
          <cell r="F38">
            <v>40.315699779876446</v>
          </cell>
        </row>
        <row r="39">
          <cell r="C39">
            <v>33.371428571428574</v>
          </cell>
          <cell r="D39">
            <v>12.263414634146342</v>
          </cell>
          <cell r="E39">
            <v>14.385245901639344</v>
          </cell>
          <cell r="F39">
            <v>25.207236842105264</v>
          </cell>
        </row>
        <row r="40">
          <cell r="C40">
            <v>26.86414503133393</v>
          </cell>
          <cell r="D40">
            <v>22.958640589932671</v>
          </cell>
          <cell r="E40">
            <v>19.035350101971449</v>
          </cell>
          <cell r="F40">
            <v>21.074644549763033</v>
          </cell>
        </row>
        <row r="41">
          <cell r="C41">
            <v>39.11339495665986</v>
          </cell>
          <cell r="D41">
            <v>30.481129836402364</v>
          </cell>
          <cell r="E41">
            <v>33.734686301523851</v>
          </cell>
          <cell r="F41">
            <v>42.113056530079255</v>
          </cell>
        </row>
      </sheetData>
      <sheetData sheetId="11">
        <row r="6">
          <cell r="C6">
            <v>98.021299518190432</v>
          </cell>
        </row>
      </sheetData>
      <sheetData sheetId="12">
        <row r="7">
          <cell r="C7">
            <v>104.62183787204974</v>
          </cell>
        </row>
      </sheetData>
      <sheetData sheetId="13">
        <row r="7">
          <cell r="C7">
            <v>118.2912885883183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6">
          <cell r="C6">
            <v>16.342394631674853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R39"/>
  <sheetViews>
    <sheetView view="pageBreakPreview" topLeftCell="A7" zoomScaleSheetLayoutView="100" workbookViewId="0">
      <selection activeCell="I23" sqref="I23"/>
    </sheetView>
  </sheetViews>
  <sheetFormatPr defaultRowHeight="15.75"/>
  <cols>
    <col min="1" max="1" width="5.140625" style="5" customWidth="1"/>
    <col min="2" max="2" width="19.5703125" style="5" customWidth="1"/>
    <col min="3" max="3" width="13.7109375" style="5" customWidth="1"/>
    <col min="4" max="4" width="14.28515625" style="5" customWidth="1"/>
    <col min="5" max="5" width="12" style="5" customWidth="1"/>
    <col min="6" max="6" width="10" style="5" customWidth="1"/>
    <col min="7" max="7" width="10.5703125" style="5" customWidth="1"/>
    <col min="8" max="8" width="11.7109375" style="5" customWidth="1"/>
    <col min="9" max="9" width="10.42578125" style="5" customWidth="1"/>
    <col min="10" max="16384" width="9.140625" style="5"/>
  </cols>
  <sheetData>
    <row r="1" spans="1:18" s="4" customFormat="1" ht="24.75" customHeight="1">
      <c r="B1" s="1"/>
      <c r="C1" s="144" t="s">
        <v>130</v>
      </c>
      <c r="E1" s="10"/>
      <c r="F1" s="10"/>
      <c r="G1" s="10"/>
      <c r="H1" s="16"/>
    </row>
    <row r="2" spans="1:18" s="12" customFormat="1" ht="95.25" customHeight="1">
      <c r="A2" s="15" t="s">
        <v>67</v>
      </c>
      <c r="B2" s="15" t="s">
        <v>65</v>
      </c>
      <c r="C2" s="15" t="s">
        <v>73</v>
      </c>
      <c r="D2" s="15" t="s">
        <v>71</v>
      </c>
      <c r="E2" s="15" t="s">
        <v>72</v>
      </c>
      <c r="F2" s="15" t="s">
        <v>69</v>
      </c>
      <c r="G2" s="15" t="s">
        <v>59</v>
      </c>
      <c r="H2" s="15" t="s">
        <v>15</v>
      </c>
      <c r="I2" s="15" t="s">
        <v>70</v>
      </c>
    </row>
    <row r="3" spans="1:18" s="21" customFormat="1" ht="13.5" customHeight="1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  <c r="I3" s="22">
        <v>9</v>
      </c>
    </row>
    <row r="4" spans="1:18" ht="19.5" customHeight="1">
      <c r="A4" s="6">
        <v>1</v>
      </c>
      <c r="B4" s="2" t="s">
        <v>16</v>
      </c>
      <c r="C4" s="18">
        <v>3</v>
      </c>
      <c r="D4" s="17">
        <f>InstMan!K6</f>
        <v>5873</v>
      </c>
      <c r="E4" s="17">
        <f>InstMan!T6</f>
        <v>19053</v>
      </c>
      <c r="F4" s="17">
        <f>InstMan!AC6</f>
        <v>15759</v>
      </c>
      <c r="G4" s="17">
        <f>InstMan!AL6</f>
        <v>66721</v>
      </c>
      <c r="H4" s="17">
        <f t="shared" ref="H4:H38" si="0">SUM(D4:G4)</f>
        <v>107406</v>
      </c>
      <c r="I4" s="279"/>
    </row>
    <row r="5" spans="1:18" ht="19.5" customHeight="1">
      <c r="A5" s="6">
        <v>2</v>
      </c>
      <c r="B5" s="2" t="s">
        <v>17</v>
      </c>
      <c r="C5" s="18"/>
      <c r="D5" s="17">
        <f>InstMan!K7</f>
        <v>118</v>
      </c>
      <c r="E5" s="17">
        <f>InstMan!T7</f>
        <v>220</v>
      </c>
      <c r="F5" s="17">
        <f>InstMan!AC7</f>
        <v>945</v>
      </c>
      <c r="G5" s="17">
        <f>InstMan!AL7</f>
        <v>2098</v>
      </c>
      <c r="H5" s="17">
        <f t="shared" si="0"/>
        <v>3381</v>
      </c>
      <c r="I5" s="17">
        <f>InstMan!AU7</f>
        <v>11</v>
      </c>
    </row>
    <row r="6" spans="1:18" ht="19.5" customHeight="1">
      <c r="A6" s="6">
        <v>3</v>
      </c>
      <c r="B6" s="2" t="s">
        <v>48</v>
      </c>
      <c r="C6" s="18">
        <v>3</v>
      </c>
      <c r="D6" s="17">
        <f>InstMan!K8</f>
        <v>4655</v>
      </c>
      <c r="E6" s="17">
        <f>InstMan!T8</f>
        <v>805</v>
      </c>
      <c r="F6" s="17">
        <f>InstMan!AC8</f>
        <v>14133</v>
      </c>
      <c r="G6" s="17">
        <f>InstMan!AL8</f>
        <v>31202</v>
      </c>
      <c r="H6" s="17">
        <f t="shared" si="0"/>
        <v>50795</v>
      </c>
      <c r="I6" s="279"/>
    </row>
    <row r="7" spans="1:18" ht="19.5" customHeight="1">
      <c r="A7" s="6">
        <v>4</v>
      </c>
      <c r="B7" s="3" t="s">
        <v>49</v>
      </c>
      <c r="C7" s="19">
        <v>3</v>
      </c>
      <c r="D7" s="17">
        <f>InstMan!K9</f>
        <v>2492</v>
      </c>
      <c r="E7" s="17">
        <f>InstMan!T9</f>
        <v>2608</v>
      </c>
      <c r="F7" s="17">
        <f>InstMan!AC9</f>
        <v>27620</v>
      </c>
      <c r="G7" s="17">
        <f>InstMan!AL9</f>
        <v>42112</v>
      </c>
      <c r="H7" s="17">
        <f t="shared" si="0"/>
        <v>74832</v>
      </c>
      <c r="I7" s="279">
        <f>InstMan!AU9</f>
        <v>1</v>
      </c>
    </row>
    <row r="8" spans="1:18" ht="19.5" customHeight="1">
      <c r="A8" s="6">
        <v>5</v>
      </c>
      <c r="B8" s="3" t="s">
        <v>19</v>
      </c>
      <c r="C8" s="19">
        <v>4</v>
      </c>
      <c r="D8" s="17">
        <f>InstMan!K10</f>
        <v>2947</v>
      </c>
      <c r="E8" s="17">
        <f>InstMan!T10</f>
        <v>2806</v>
      </c>
      <c r="F8" s="17">
        <f>InstMan!AC10</f>
        <v>15883</v>
      </c>
      <c r="G8" s="17">
        <f>InstMan!AL10</f>
        <v>35352</v>
      </c>
      <c r="H8" s="17">
        <f t="shared" si="0"/>
        <v>56988</v>
      </c>
      <c r="I8" s="279">
        <f>InstMan!AU10</f>
        <v>957</v>
      </c>
    </row>
    <row r="9" spans="1:18" ht="19.5" customHeight="1">
      <c r="A9" s="6">
        <v>6</v>
      </c>
      <c r="B9" s="2" t="s">
        <v>20</v>
      </c>
      <c r="C9" s="18">
        <v>1</v>
      </c>
      <c r="D9" s="17">
        <f>InstMan!K11</f>
        <v>86</v>
      </c>
      <c r="E9" s="17">
        <f>InstMan!T11</f>
        <v>380</v>
      </c>
      <c r="F9" s="17">
        <f>InstMan!AC11</f>
        <v>461</v>
      </c>
      <c r="G9" s="17">
        <f>InstMan!AL11</f>
        <v>1230</v>
      </c>
      <c r="H9" s="17">
        <f t="shared" si="0"/>
        <v>2157</v>
      </c>
      <c r="I9" s="279"/>
    </row>
    <row r="10" spans="1:18" ht="19.5" customHeight="1">
      <c r="A10" s="6">
        <v>7</v>
      </c>
      <c r="B10" s="2" t="s">
        <v>21</v>
      </c>
      <c r="C10" s="18">
        <v>1</v>
      </c>
      <c r="D10" s="17">
        <f>InstMan!K12</f>
        <v>5689</v>
      </c>
      <c r="E10" s="17">
        <f>InstMan!T12</f>
        <v>3523</v>
      </c>
      <c r="F10" s="17">
        <f>InstMan!AC12</f>
        <v>42145</v>
      </c>
      <c r="G10" s="17">
        <f>InstMan!AL12</f>
        <v>0</v>
      </c>
      <c r="H10" s="17">
        <f t="shared" si="0"/>
        <v>51357</v>
      </c>
      <c r="I10" s="279"/>
    </row>
    <row r="11" spans="1:18" ht="19.5" customHeight="1">
      <c r="A11" s="6">
        <v>8</v>
      </c>
      <c r="B11" s="2" t="s">
        <v>22</v>
      </c>
      <c r="C11" s="18">
        <v>1</v>
      </c>
      <c r="D11" s="17">
        <f>InstMan!K13</f>
        <v>3436</v>
      </c>
      <c r="E11" s="17">
        <f>InstMan!T13</f>
        <v>3542</v>
      </c>
      <c r="F11" s="17">
        <f>InstMan!AC13</f>
        <v>3483</v>
      </c>
      <c r="G11" s="17">
        <f>InstMan!AL13</f>
        <v>13987</v>
      </c>
      <c r="H11" s="17">
        <f t="shared" si="0"/>
        <v>24448</v>
      </c>
      <c r="I11" s="279">
        <f>InstMan!AU13</f>
        <v>17</v>
      </c>
    </row>
    <row r="12" spans="1:18" ht="19.5" customHeight="1">
      <c r="A12" s="8">
        <v>9</v>
      </c>
      <c r="B12" s="2" t="s">
        <v>50</v>
      </c>
      <c r="C12" s="18">
        <v>1</v>
      </c>
      <c r="D12" s="17">
        <f>InstMan!K14</f>
        <v>1785</v>
      </c>
      <c r="E12" s="17">
        <f>InstMan!T14</f>
        <v>1517</v>
      </c>
      <c r="F12" s="17">
        <f>InstMan!AC14</f>
        <v>2993</v>
      </c>
      <c r="G12" s="17">
        <f>InstMan!AL14</f>
        <v>11214</v>
      </c>
      <c r="H12" s="17">
        <f t="shared" si="0"/>
        <v>17509</v>
      </c>
      <c r="I12" s="279">
        <f>InstMan!AU14</f>
        <v>14</v>
      </c>
      <c r="J12" s="277"/>
    </row>
    <row r="13" spans="1:18" s="24" customFormat="1" ht="19.5" customHeight="1">
      <c r="A13" s="25">
        <v>10</v>
      </c>
      <c r="B13" s="2" t="s">
        <v>51</v>
      </c>
      <c r="C13" s="18">
        <v>1</v>
      </c>
      <c r="D13" s="260">
        <f>InstMan!K15</f>
        <v>889</v>
      </c>
      <c r="E13" s="260">
        <f>InstMan!T15</f>
        <v>2216</v>
      </c>
      <c r="F13" s="260">
        <f>InstMan!AC15</f>
        <v>8877</v>
      </c>
      <c r="G13" s="260">
        <f>InstMan!AL15</f>
        <v>15446</v>
      </c>
      <c r="H13" s="260">
        <f t="shared" si="0"/>
        <v>27428</v>
      </c>
      <c r="I13" s="27"/>
      <c r="J13" s="277"/>
      <c r="K13" s="5"/>
      <c r="L13" s="5"/>
      <c r="M13" s="5"/>
      <c r="N13" s="5"/>
      <c r="O13" s="5"/>
      <c r="P13" s="5"/>
      <c r="Q13" s="5"/>
      <c r="R13" s="5"/>
    </row>
    <row r="14" spans="1:18" s="24" customFormat="1" ht="19.5" customHeight="1">
      <c r="A14" s="25">
        <v>11</v>
      </c>
      <c r="B14" s="2" t="s">
        <v>52</v>
      </c>
      <c r="C14" s="18">
        <v>1</v>
      </c>
      <c r="D14" s="260">
        <f>InstMan!K16</f>
        <v>1118</v>
      </c>
      <c r="E14" s="260">
        <f>InstMan!T16</f>
        <v>4225</v>
      </c>
      <c r="F14" s="260">
        <f>InstMan!AC16</f>
        <v>14863</v>
      </c>
      <c r="G14" s="260">
        <f>InstMan!AL16</f>
        <v>26731</v>
      </c>
      <c r="H14" s="260">
        <f t="shared" si="0"/>
        <v>46937</v>
      </c>
      <c r="I14" s="27">
        <f>InstMan!AU16</f>
        <v>95</v>
      </c>
      <c r="J14" s="277"/>
      <c r="K14" s="5"/>
      <c r="L14" s="5"/>
      <c r="M14" s="5"/>
      <c r="N14" s="5"/>
      <c r="O14" s="5"/>
      <c r="P14" s="5"/>
      <c r="Q14" s="5"/>
      <c r="R14" s="5"/>
    </row>
    <row r="15" spans="1:18" ht="19.5" customHeight="1">
      <c r="A15" s="6">
        <v>12</v>
      </c>
      <c r="B15" s="2" t="s">
        <v>25</v>
      </c>
      <c r="C15" s="18">
        <v>2</v>
      </c>
      <c r="D15" s="17">
        <f>InstMan!K17</f>
        <v>3644</v>
      </c>
      <c r="E15" s="17">
        <f>InstMan!T17</f>
        <v>13850</v>
      </c>
      <c r="F15" s="17">
        <f>InstMan!AC17</f>
        <v>33582</v>
      </c>
      <c r="G15" s="17">
        <f>InstMan!AL17</f>
        <v>25949</v>
      </c>
      <c r="H15" s="17">
        <f t="shared" si="0"/>
        <v>77025</v>
      </c>
      <c r="I15" s="280"/>
      <c r="J15" s="277"/>
    </row>
    <row r="16" spans="1:18" ht="19.5" customHeight="1">
      <c r="A16" s="6">
        <v>13</v>
      </c>
      <c r="B16" s="2" t="s">
        <v>53</v>
      </c>
      <c r="C16" s="18">
        <v>2</v>
      </c>
      <c r="D16" s="17">
        <f>InstMan!K18</f>
        <v>2704</v>
      </c>
      <c r="E16" s="17">
        <f>InstMan!T18</f>
        <v>1600</v>
      </c>
      <c r="F16" s="17">
        <f>InstMan!AC18</f>
        <v>3002</v>
      </c>
      <c r="G16" s="17">
        <f>InstMan!AL18</f>
        <v>6786</v>
      </c>
      <c r="H16" s="17">
        <f t="shared" si="0"/>
        <v>14092</v>
      </c>
      <c r="I16" s="280"/>
      <c r="J16" s="255"/>
    </row>
    <row r="17" spans="1:18" ht="19.5" customHeight="1">
      <c r="A17" s="6">
        <v>14</v>
      </c>
      <c r="B17" s="2" t="s">
        <v>27</v>
      </c>
      <c r="C17" s="18">
        <v>2</v>
      </c>
      <c r="D17" s="17">
        <f>InstMan!K19</f>
        <v>5832</v>
      </c>
      <c r="E17" s="17">
        <f>InstMan!T19</f>
        <v>7101</v>
      </c>
      <c r="F17" s="17">
        <f>InstMan!AC19</f>
        <v>96797</v>
      </c>
      <c r="G17" s="17">
        <f>InstMan!AL19</f>
        <v>43662</v>
      </c>
      <c r="H17" s="17">
        <f t="shared" si="0"/>
        <v>153392</v>
      </c>
      <c r="I17" s="280"/>
      <c r="J17" s="255"/>
    </row>
    <row r="18" spans="1:18" ht="19.5" customHeight="1">
      <c r="A18" s="6">
        <v>15</v>
      </c>
      <c r="B18" s="2" t="s">
        <v>28</v>
      </c>
      <c r="C18" s="18">
        <v>1</v>
      </c>
      <c r="D18" s="17">
        <f>InstMan!K20</f>
        <v>7328</v>
      </c>
      <c r="E18" s="17">
        <f>InstMan!T20</f>
        <v>14710</v>
      </c>
      <c r="F18" s="17">
        <f>InstMan!AC20</f>
        <v>28969</v>
      </c>
      <c r="G18" s="17">
        <f>InstMan!AL20</f>
        <v>49915</v>
      </c>
      <c r="H18" s="17">
        <f t="shared" si="0"/>
        <v>100922</v>
      </c>
      <c r="I18" s="17">
        <f>InstMan!AU20</f>
        <v>56145</v>
      </c>
    </row>
    <row r="19" spans="1:18" ht="19.5" customHeight="1">
      <c r="A19" s="6">
        <v>16</v>
      </c>
      <c r="B19" s="2" t="s">
        <v>29</v>
      </c>
      <c r="C19" s="18">
        <v>2</v>
      </c>
      <c r="D19" s="17">
        <f>InstMan!K21</f>
        <v>118</v>
      </c>
      <c r="E19" s="17">
        <f>InstMan!T21</f>
        <v>757</v>
      </c>
      <c r="F19" s="17">
        <f>InstMan!AC21</f>
        <v>733</v>
      </c>
      <c r="G19" s="17">
        <f>InstMan!AL21</f>
        <v>2420</v>
      </c>
      <c r="H19" s="17">
        <f t="shared" si="0"/>
        <v>4028</v>
      </c>
      <c r="I19" s="279">
        <f>InstMan!AU21</f>
        <v>1</v>
      </c>
    </row>
    <row r="20" spans="1:18" ht="19.5" customHeight="1">
      <c r="A20" s="6">
        <v>17</v>
      </c>
      <c r="B20" s="2" t="s">
        <v>30</v>
      </c>
      <c r="C20" s="18">
        <v>1</v>
      </c>
      <c r="D20" s="17">
        <f>InstMan!K22</f>
        <v>163</v>
      </c>
      <c r="E20" s="17">
        <f>InstMan!T22</f>
        <v>845</v>
      </c>
      <c r="F20" s="17">
        <f>InstMan!AC22</f>
        <v>3235</v>
      </c>
      <c r="G20" s="17">
        <f>InstMan!AL22</f>
        <v>9081</v>
      </c>
      <c r="H20" s="17">
        <f t="shared" si="0"/>
        <v>13324</v>
      </c>
      <c r="I20" s="279">
        <f>InstMan!AU22</f>
        <v>711</v>
      </c>
      <c r="J20" s="277"/>
    </row>
    <row r="21" spans="1:18" ht="19.5" customHeight="1">
      <c r="A21" s="6">
        <v>18</v>
      </c>
      <c r="B21" s="2" t="s">
        <v>31</v>
      </c>
      <c r="C21" s="18">
        <v>1</v>
      </c>
      <c r="D21" s="17">
        <f>InstMan!K23</f>
        <v>113</v>
      </c>
      <c r="E21" s="17">
        <f>InstMan!T23</f>
        <v>543</v>
      </c>
      <c r="F21" s="17">
        <f>InstMan!AC23</f>
        <v>1383</v>
      </c>
      <c r="G21" s="17">
        <f>InstMan!AL23</f>
        <v>1855</v>
      </c>
      <c r="H21" s="17">
        <f t="shared" si="0"/>
        <v>3894</v>
      </c>
      <c r="I21" s="280"/>
      <c r="J21" s="277"/>
    </row>
    <row r="22" spans="1:18" s="24" customFormat="1" ht="19.5" customHeight="1">
      <c r="A22" s="25">
        <v>19</v>
      </c>
      <c r="B22" s="2" t="s">
        <v>54</v>
      </c>
      <c r="C22" s="18">
        <v>1</v>
      </c>
      <c r="D22" s="260">
        <f>InstMan!K24</f>
        <v>132</v>
      </c>
      <c r="E22" s="260">
        <f>InstMan!T24</f>
        <v>461</v>
      </c>
      <c r="F22" s="260">
        <f>InstMan!AC24</f>
        <v>465</v>
      </c>
      <c r="G22" s="260">
        <f>InstMan!AL24</f>
        <v>1662</v>
      </c>
      <c r="H22" s="260">
        <f t="shared" si="0"/>
        <v>2720</v>
      </c>
      <c r="I22" s="27"/>
      <c r="J22" s="277"/>
      <c r="K22" s="5"/>
      <c r="L22" s="5"/>
      <c r="M22" s="5"/>
      <c r="N22" s="5"/>
      <c r="O22" s="5"/>
      <c r="P22" s="5"/>
      <c r="Q22" s="5"/>
      <c r="R22" s="5"/>
    </row>
    <row r="23" spans="1:18" ht="19.5" customHeight="1">
      <c r="A23" s="6">
        <v>20</v>
      </c>
      <c r="B23" s="2" t="s">
        <v>55</v>
      </c>
      <c r="C23" s="18">
        <v>2</v>
      </c>
      <c r="D23" s="17">
        <f>InstMan!K25</f>
        <v>1307</v>
      </c>
      <c r="E23" s="17">
        <f>InstMan!T25</f>
        <v>7974</v>
      </c>
      <c r="F23" s="17">
        <f>InstMan!AC25</f>
        <v>22649</v>
      </c>
      <c r="G23" s="17">
        <f>InstMan!AL25</f>
        <v>54150</v>
      </c>
      <c r="H23" s="17">
        <f t="shared" si="0"/>
        <v>86080</v>
      </c>
      <c r="I23" s="280"/>
      <c r="J23" s="277"/>
    </row>
    <row r="24" spans="1:18" ht="19.5" customHeight="1">
      <c r="A24" s="6">
        <v>21</v>
      </c>
      <c r="B24" s="2" t="s">
        <v>56</v>
      </c>
      <c r="C24" s="18">
        <v>1</v>
      </c>
      <c r="D24" s="17">
        <f>InstMan!K26</f>
        <v>3810</v>
      </c>
      <c r="E24" s="17">
        <f>InstMan!T26</f>
        <v>4844</v>
      </c>
      <c r="F24" s="17">
        <f>InstMan!AC26</f>
        <v>5766</v>
      </c>
      <c r="G24" s="17">
        <f>InstMan!AL26</f>
        <v>15738</v>
      </c>
      <c r="H24" s="17">
        <f t="shared" si="0"/>
        <v>30158</v>
      </c>
      <c r="I24" s="280"/>
    </row>
    <row r="25" spans="1:18" ht="19.5" customHeight="1">
      <c r="A25" s="6">
        <v>22</v>
      </c>
      <c r="B25" s="2" t="s">
        <v>32</v>
      </c>
      <c r="C25" s="18">
        <v>3</v>
      </c>
      <c r="D25" s="17">
        <f>InstMan!K27</f>
        <v>8530</v>
      </c>
      <c r="E25" s="17">
        <f>InstMan!T27</f>
        <v>15691</v>
      </c>
      <c r="F25" s="17">
        <f>InstMan!AC27</f>
        <v>40322</v>
      </c>
      <c r="G25" s="17">
        <f>InstMan!AL27</f>
        <v>49642</v>
      </c>
      <c r="H25" s="17">
        <f t="shared" si="0"/>
        <v>114185</v>
      </c>
      <c r="I25" s="17">
        <f>InstMan!AU27</f>
        <v>7</v>
      </c>
    </row>
    <row r="26" spans="1:18" ht="19.5" customHeight="1">
      <c r="A26" s="6">
        <v>23</v>
      </c>
      <c r="B26" s="2" t="s">
        <v>33</v>
      </c>
      <c r="C26" s="18"/>
      <c r="D26" s="17">
        <f>InstMan!K28</f>
        <v>61</v>
      </c>
      <c r="E26" s="17">
        <f>InstMan!T28</f>
        <v>137</v>
      </c>
      <c r="F26" s="17">
        <f>InstMan!AC28</f>
        <v>327</v>
      </c>
      <c r="G26" s="17">
        <f>InstMan!AL28</f>
        <v>692</v>
      </c>
      <c r="H26" s="17">
        <f t="shared" si="0"/>
        <v>1217</v>
      </c>
      <c r="I26" s="17">
        <f>InstMan!AU28</f>
        <v>395</v>
      </c>
    </row>
    <row r="27" spans="1:18" ht="19.5" customHeight="1">
      <c r="A27" s="6">
        <v>24</v>
      </c>
      <c r="B27" s="2" t="s">
        <v>34</v>
      </c>
      <c r="C27" s="18">
        <v>1</v>
      </c>
      <c r="D27" s="17">
        <f>InstMan!K29</f>
        <v>3660</v>
      </c>
      <c r="E27" s="17">
        <f>InstMan!T29</f>
        <v>3112</v>
      </c>
      <c r="F27" s="17">
        <f>InstMan!AC29</f>
        <v>8501</v>
      </c>
      <c r="G27" s="17">
        <f>InstMan!AL29</f>
        <v>29060</v>
      </c>
      <c r="H27" s="17">
        <f t="shared" si="0"/>
        <v>44333</v>
      </c>
      <c r="I27" s="279">
        <f>InstMan!AU29</f>
        <v>2457</v>
      </c>
    </row>
    <row r="28" spans="1:18" ht="19.5" customHeight="1">
      <c r="A28" s="6">
        <v>25</v>
      </c>
      <c r="B28" s="2" t="s">
        <v>35</v>
      </c>
      <c r="C28" s="18">
        <v>1</v>
      </c>
      <c r="D28" s="17">
        <f>InstMan!K30</f>
        <v>350</v>
      </c>
      <c r="E28" s="17">
        <f>InstMan!T30</f>
        <v>533</v>
      </c>
      <c r="F28" s="17">
        <f>InstMan!AC30</f>
        <v>1274</v>
      </c>
      <c r="G28" s="17">
        <f>InstMan!AL30</f>
        <v>2298</v>
      </c>
      <c r="H28" s="17">
        <f t="shared" si="0"/>
        <v>4455</v>
      </c>
      <c r="I28" s="280"/>
    </row>
    <row r="29" spans="1:18" ht="19.5" customHeight="1">
      <c r="A29" s="6">
        <v>26</v>
      </c>
      <c r="B29" s="2" t="s">
        <v>36</v>
      </c>
      <c r="C29" s="18">
        <v>1</v>
      </c>
      <c r="D29" s="17">
        <f>InstMan!K31</f>
        <v>10739</v>
      </c>
      <c r="E29" s="17">
        <f>InstMan!T31</f>
        <v>8691</v>
      </c>
      <c r="F29" s="17">
        <f>InstMan!AC31</f>
        <v>76398</v>
      </c>
      <c r="G29" s="17">
        <f>InstMan!AL31</f>
        <v>155619</v>
      </c>
      <c r="H29" s="17">
        <f t="shared" si="0"/>
        <v>251447</v>
      </c>
      <c r="I29" s="280"/>
    </row>
    <row r="30" spans="1:18" ht="19.5" customHeight="1">
      <c r="A30" s="6">
        <v>27</v>
      </c>
      <c r="B30" s="2" t="s">
        <v>37</v>
      </c>
      <c r="C30" s="18">
        <v>1</v>
      </c>
      <c r="D30" s="17">
        <f>InstMan!K32</f>
        <v>1742</v>
      </c>
      <c r="E30" s="17">
        <f>InstMan!T32</f>
        <v>1320</v>
      </c>
      <c r="F30" s="17">
        <f>InstMan!AC32</f>
        <v>4611</v>
      </c>
      <c r="G30" s="17">
        <f>InstMan!AL32</f>
        <v>15440</v>
      </c>
      <c r="H30" s="17">
        <f t="shared" si="0"/>
        <v>23113</v>
      </c>
      <c r="I30" s="280"/>
    </row>
    <row r="31" spans="1:18" ht="19.5" customHeight="1">
      <c r="A31" s="6">
        <v>28</v>
      </c>
      <c r="B31" s="2" t="s">
        <v>57</v>
      </c>
      <c r="C31" s="18">
        <v>4</v>
      </c>
      <c r="D31" s="17">
        <f>InstMan!K33</f>
        <v>4341</v>
      </c>
      <c r="E31" s="17">
        <f>InstMan!T33</f>
        <v>4454</v>
      </c>
      <c r="F31" s="17">
        <f>InstMan!AC33</f>
        <v>2623</v>
      </c>
      <c r="G31" s="17">
        <f>InstMan!AL33</f>
        <v>49908</v>
      </c>
      <c r="H31" s="17">
        <f t="shared" si="0"/>
        <v>61326</v>
      </c>
      <c r="I31" s="280"/>
    </row>
    <row r="32" spans="1:18" ht="19.5" customHeight="1">
      <c r="A32" s="6">
        <v>29</v>
      </c>
      <c r="B32" s="2" t="s">
        <v>39</v>
      </c>
      <c r="C32" s="18"/>
      <c r="D32" s="17">
        <f>InstMan!K34</f>
        <v>56</v>
      </c>
      <c r="E32" s="17">
        <f>InstMan!T34</f>
        <v>45</v>
      </c>
      <c r="F32" s="17">
        <f>InstMan!AC34</f>
        <v>76</v>
      </c>
      <c r="G32" s="17">
        <f>InstMan!AL34</f>
        <v>217</v>
      </c>
      <c r="H32" s="17">
        <f t="shared" si="0"/>
        <v>394</v>
      </c>
      <c r="I32" s="279">
        <f>InstMan!AU34</f>
        <v>34</v>
      </c>
    </row>
    <row r="33" spans="1:13" ht="19.5" customHeight="1">
      <c r="A33" s="6">
        <v>30</v>
      </c>
      <c r="B33" s="2" t="s">
        <v>40</v>
      </c>
      <c r="C33" s="18"/>
      <c r="D33" s="17">
        <f>InstMan!K35</f>
        <v>81</v>
      </c>
      <c r="E33" s="17">
        <f>InstMan!T35</f>
        <v>63</v>
      </c>
      <c r="F33" s="17">
        <f>InstMan!AC35</f>
        <v>29</v>
      </c>
      <c r="G33" s="17">
        <f>InstMan!AL35</f>
        <v>14</v>
      </c>
      <c r="H33" s="17">
        <f t="shared" si="0"/>
        <v>187</v>
      </c>
      <c r="I33" s="17">
        <f>InstMan!AU35</f>
        <v>1</v>
      </c>
    </row>
    <row r="34" spans="1:13" ht="19.5" customHeight="1">
      <c r="A34" s="6">
        <v>31</v>
      </c>
      <c r="B34" s="2" t="s">
        <v>41</v>
      </c>
      <c r="C34" s="18"/>
      <c r="D34" s="17">
        <f>InstMan!K36</f>
        <v>14</v>
      </c>
      <c r="E34" s="17">
        <f>InstMan!T36</f>
        <v>19</v>
      </c>
      <c r="F34" s="17">
        <f>InstMan!AC36</f>
        <v>99</v>
      </c>
      <c r="G34" s="17">
        <f>InstMan!AL36</f>
        <v>202</v>
      </c>
      <c r="H34" s="17">
        <f t="shared" si="0"/>
        <v>334</v>
      </c>
      <c r="I34" s="280"/>
    </row>
    <row r="35" spans="1:13" ht="19.5" customHeight="1">
      <c r="A35" s="6">
        <v>32</v>
      </c>
      <c r="B35" s="2" t="s">
        <v>42</v>
      </c>
      <c r="C35" s="18"/>
      <c r="D35" s="17">
        <f>InstMan!K37</f>
        <v>18</v>
      </c>
      <c r="E35" s="17">
        <f>InstMan!T37</f>
        <v>18</v>
      </c>
      <c r="F35" s="17">
        <f>InstMan!AC37</f>
        <v>52</v>
      </c>
      <c r="G35" s="17">
        <f>InstMan!AL37</f>
        <v>60</v>
      </c>
      <c r="H35" s="17">
        <f t="shared" si="0"/>
        <v>148</v>
      </c>
      <c r="I35" s="279">
        <f>InstMan!AU37</f>
        <v>32</v>
      </c>
    </row>
    <row r="36" spans="1:13" ht="19.5" customHeight="1">
      <c r="A36" s="6">
        <v>33</v>
      </c>
      <c r="B36" s="2" t="s">
        <v>43</v>
      </c>
      <c r="C36" s="18">
        <v>3</v>
      </c>
      <c r="D36" s="17">
        <f>InstMan!K38</f>
        <v>1427</v>
      </c>
      <c r="E36" s="17">
        <f>InstMan!T38</f>
        <v>461</v>
      </c>
      <c r="F36" s="17">
        <f>InstMan!AC38</f>
        <v>598</v>
      </c>
      <c r="G36" s="17">
        <f>InstMan!AL38</f>
        <v>2581</v>
      </c>
      <c r="H36" s="17">
        <f t="shared" si="0"/>
        <v>5067</v>
      </c>
      <c r="I36" s="279">
        <f>InstMan!AU38</f>
        <v>51</v>
      </c>
      <c r="J36" s="91"/>
    </row>
    <row r="37" spans="1:13" ht="19.5" customHeight="1">
      <c r="A37" s="6">
        <v>34</v>
      </c>
      <c r="B37" s="2" t="s">
        <v>58</v>
      </c>
      <c r="C37" s="18"/>
      <c r="D37" s="17">
        <f>InstMan!K39</f>
        <v>10</v>
      </c>
      <c r="E37" s="17">
        <f>InstMan!T39</f>
        <v>2</v>
      </c>
      <c r="F37" s="17">
        <f>InstMan!AC39</f>
        <v>8</v>
      </c>
      <c r="G37" s="17">
        <f>InstMan!AL39</f>
        <v>23</v>
      </c>
      <c r="H37" s="17">
        <f t="shared" si="0"/>
        <v>43</v>
      </c>
      <c r="I37" s="279">
        <f>InstMan!AU39</f>
        <v>19</v>
      </c>
      <c r="K37" s="91"/>
      <c r="L37" s="91"/>
      <c r="M37" s="91"/>
    </row>
    <row r="38" spans="1:13" ht="19.5" customHeight="1">
      <c r="A38" s="6">
        <v>35</v>
      </c>
      <c r="B38" s="2" t="s">
        <v>45</v>
      </c>
      <c r="C38" s="18"/>
      <c r="D38" s="17">
        <f>InstMan!K40</f>
        <v>121</v>
      </c>
      <c r="E38" s="17">
        <f>InstMan!T40</f>
        <v>195</v>
      </c>
      <c r="F38" s="17">
        <f>InstMan!AC40</f>
        <v>95</v>
      </c>
      <c r="G38" s="17">
        <f>InstMan!AL40</f>
        <v>303</v>
      </c>
      <c r="H38" s="17">
        <f t="shared" si="0"/>
        <v>714</v>
      </c>
      <c r="I38" s="279">
        <f>InstMan!AU40</f>
        <v>550</v>
      </c>
    </row>
    <row r="39" spans="1:13" s="91" customFormat="1" ht="19.5" customHeight="1">
      <c r="A39" s="282" t="s">
        <v>46</v>
      </c>
      <c r="B39" s="282"/>
      <c r="C39" s="88">
        <f>SUM(C4:C38)</f>
        <v>48</v>
      </c>
      <c r="D39" s="89">
        <f>SUM(D4:D38)</f>
        <v>85389</v>
      </c>
      <c r="E39" s="89">
        <f t="shared" ref="E39:H39" si="1">SUM(E4:E38)</f>
        <v>128321</v>
      </c>
      <c r="F39" s="89">
        <f t="shared" si="1"/>
        <v>478756</v>
      </c>
      <c r="G39" s="89">
        <f t="shared" si="1"/>
        <v>763370</v>
      </c>
      <c r="H39" s="89">
        <f t="shared" si="1"/>
        <v>1455836</v>
      </c>
      <c r="I39" s="90">
        <f>SUM(I4:I38)</f>
        <v>61498</v>
      </c>
      <c r="J39" s="5"/>
      <c r="K39" s="5"/>
      <c r="L39" s="5"/>
      <c r="M39" s="5"/>
    </row>
  </sheetData>
  <mergeCells count="1">
    <mergeCell ref="A39:B39"/>
  </mergeCells>
  <printOptions horizontalCentered="1"/>
  <pageMargins left="0.18" right="0.16" top="0.35" bottom="0.41" header="0.22" footer="0.17"/>
  <pageSetup paperSize="9" scale="92" orientation="portrait" useFirstPageNumber="1" r:id="rId1"/>
  <headerFooter alignWithMargins="0">
    <oddFooter>&amp;LStatistics of School Education 2011-12&amp;R&amp;P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Q44"/>
  <sheetViews>
    <sheetView view="pageBreakPreview" topLeftCell="B28" zoomScaleNormal="87" zoomScaleSheetLayoutView="100" workbookViewId="0">
      <selection activeCell="O40" sqref="O40"/>
    </sheetView>
  </sheetViews>
  <sheetFormatPr defaultRowHeight="15.75"/>
  <cols>
    <col min="1" max="1" width="5.140625" style="5" customWidth="1"/>
    <col min="2" max="2" width="19.5703125" style="5" customWidth="1"/>
    <col min="3" max="8" width="13.28515625" style="5" customWidth="1"/>
    <col min="9" max="9" width="10.28515625" style="5" customWidth="1"/>
    <col min="10" max="10" width="9.28515625" style="5" customWidth="1"/>
    <col min="11" max="11" width="10.140625" style="5" customWidth="1"/>
    <col min="12" max="12" width="10.28515625" style="5" customWidth="1"/>
    <col min="13" max="13" width="9.28515625" style="5" customWidth="1"/>
    <col min="14" max="14" width="10.28515625" style="5" customWidth="1"/>
    <col min="15" max="15" width="6.85546875" style="5" customWidth="1"/>
    <col min="16" max="16" width="8.85546875" style="5" customWidth="1"/>
    <col min="17" max="17" width="7.5703125" style="5" customWidth="1"/>
    <col min="18" max="16384" width="9.140625" style="5"/>
  </cols>
  <sheetData>
    <row r="1" spans="1:17" s="4" customFormat="1" ht="30" customHeight="1">
      <c r="B1" s="1" t="s">
        <v>105</v>
      </c>
      <c r="C1" s="16" t="s">
        <v>151</v>
      </c>
      <c r="D1" s="16"/>
      <c r="E1" s="16"/>
      <c r="F1" s="16"/>
      <c r="G1" s="16"/>
      <c r="H1" s="16"/>
      <c r="I1" s="16" t="str">
        <f>C1</f>
        <v>NUMBER OF TEACHERS IN VARIOUS TYPES OF SCHOOLS</v>
      </c>
      <c r="J1" s="16"/>
      <c r="K1" s="16"/>
      <c r="L1" s="16"/>
      <c r="M1" s="16"/>
      <c r="N1" s="16"/>
      <c r="O1" s="16"/>
      <c r="P1" s="16"/>
      <c r="Q1" s="16"/>
    </row>
    <row r="2" spans="1:17" s="12" customFormat="1" ht="38.25" customHeight="1">
      <c r="A2" s="283" t="s">
        <v>67</v>
      </c>
      <c r="B2" s="283" t="s">
        <v>65</v>
      </c>
      <c r="C2" s="283" t="s">
        <v>68</v>
      </c>
      <c r="D2" s="283"/>
      <c r="E2" s="283"/>
      <c r="F2" s="283" t="s">
        <v>47</v>
      </c>
      <c r="G2" s="283"/>
      <c r="H2" s="283"/>
      <c r="I2" s="283" t="s">
        <v>69</v>
      </c>
      <c r="J2" s="283"/>
      <c r="K2" s="283"/>
      <c r="L2" s="283" t="s">
        <v>59</v>
      </c>
      <c r="M2" s="283"/>
      <c r="N2" s="283"/>
      <c r="O2" s="283" t="s">
        <v>70</v>
      </c>
      <c r="P2" s="283"/>
      <c r="Q2" s="283"/>
    </row>
    <row r="3" spans="1:17" s="14" customFormat="1" ht="22.5" customHeight="1">
      <c r="A3" s="283"/>
      <c r="B3" s="283"/>
      <c r="C3" s="249" t="s">
        <v>106</v>
      </c>
      <c r="D3" s="249" t="s">
        <v>107</v>
      </c>
      <c r="E3" s="249" t="s">
        <v>15</v>
      </c>
      <c r="F3" s="249" t="s">
        <v>106</v>
      </c>
      <c r="G3" s="249" t="s">
        <v>107</v>
      </c>
      <c r="H3" s="249" t="s">
        <v>15</v>
      </c>
      <c r="I3" s="249" t="s">
        <v>106</v>
      </c>
      <c r="J3" s="249" t="s">
        <v>107</v>
      </c>
      <c r="K3" s="249" t="s">
        <v>15</v>
      </c>
      <c r="L3" s="249" t="s">
        <v>106</v>
      </c>
      <c r="M3" s="249" t="s">
        <v>107</v>
      </c>
      <c r="N3" s="249" t="s">
        <v>15</v>
      </c>
      <c r="O3" s="249" t="s">
        <v>106</v>
      </c>
      <c r="P3" s="249" t="s">
        <v>107</v>
      </c>
      <c r="Q3" s="249" t="s">
        <v>15</v>
      </c>
    </row>
    <row r="4" spans="1:17" s="135" customFormat="1" ht="13.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22">
        <v>17</v>
      </c>
    </row>
    <row r="5" spans="1:17" ht="21" customHeight="1">
      <c r="A5" s="8">
        <v>1</v>
      </c>
      <c r="B5" s="2" t="s">
        <v>16</v>
      </c>
      <c r="C5" s="63">
        <f>5658+35755</f>
        <v>41413</v>
      </c>
      <c r="D5" s="63">
        <f>7992+11987</f>
        <v>19979</v>
      </c>
      <c r="E5" s="63">
        <f>C5+D5</f>
        <v>61392</v>
      </c>
      <c r="F5" s="63">
        <v>117670</v>
      </c>
      <c r="G5" s="63">
        <v>77054</v>
      </c>
      <c r="H5" s="63">
        <f>F5+G5</f>
        <v>194724</v>
      </c>
      <c r="I5" s="63">
        <v>51397</v>
      </c>
      <c r="J5" s="63">
        <v>45618</v>
      </c>
      <c r="K5" s="63">
        <f>I5+J5</f>
        <v>97015</v>
      </c>
      <c r="L5" s="63">
        <v>93606</v>
      </c>
      <c r="M5" s="63">
        <v>96116</v>
      </c>
      <c r="N5" s="63">
        <f>L5+M5</f>
        <v>189722</v>
      </c>
      <c r="O5" s="63"/>
      <c r="P5" s="63"/>
      <c r="Q5" s="63"/>
    </row>
    <row r="6" spans="1:17" ht="21" customHeight="1">
      <c r="A6" s="8">
        <v>2</v>
      </c>
      <c r="B6" s="2" t="s">
        <v>17</v>
      </c>
      <c r="C6" s="63">
        <v>2190</v>
      </c>
      <c r="D6" s="63">
        <v>764</v>
      </c>
      <c r="E6" s="63">
        <f t="shared" ref="E6:E39" si="0">C6+D6</f>
        <v>2954</v>
      </c>
      <c r="F6" s="63">
        <v>1925</v>
      </c>
      <c r="G6" s="63">
        <v>920</v>
      </c>
      <c r="H6" s="63">
        <f t="shared" ref="H6:H39" si="1">F6+G6</f>
        <v>2845</v>
      </c>
      <c r="I6" s="63">
        <v>4117</v>
      </c>
      <c r="J6" s="63">
        <v>2325</v>
      </c>
      <c r="K6" s="63">
        <f t="shared" ref="K6:K39" si="2">I6+J6</f>
        <v>6442</v>
      </c>
      <c r="L6" s="63">
        <v>3296</v>
      </c>
      <c r="M6" s="63">
        <v>1861</v>
      </c>
      <c r="N6" s="63">
        <f t="shared" ref="N6:N39" si="3">L6+M6</f>
        <v>5157</v>
      </c>
      <c r="O6" s="63">
        <v>1</v>
      </c>
      <c r="P6" s="63">
        <v>36</v>
      </c>
      <c r="Q6" s="63">
        <f t="shared" ref="Q6:Q39" si="4">O6+P6</f>
        <v>37</v>
      </c>
    </row>
    <row r="7" spans="1:17" ht="21" customHeight="1">
      <c r="A7" s="8">
        <v>3</v>
      </c>
      <c r="B7" s="2" t="s">
        <v>48</v>
      </c>
      <c r="C7" s="63">
        <v>32389</v>
      </c>
      <c r="D7" s="63">
        <v>12044</v>
      </c>
      <c r="E7" s="63">
        <f t="shared" si="0"/>
        <v>44433</v>
      </c>
      <c r="F7" s="63">
        <v>10142</v>
      </c>
      <c r="G7" s="63">
        <v>4703</v>
      </c>
      <c r="H7" s="63">
        <f t="shared" si="1"/>
        <v>14845</v>
      </c>
      <c r="I7" s="63">
        <v>62096</v>
      </c>
      <c r="J7" s="63">
        <v>19541</v>
      </c>
      <c r="K7" s="63">
        <f t="shared" si="2"/>
        <v>81637</v>
      </c>
      <c r="L7" s="63">
        <v>55114</v>
      </c>
      <c r="M7" s="63">
        <v>31562</v>
      </c>
      <c r="N7" s="63">
        <f t="shared" si="3"/>
        <v>86676</v>
      </c>
      <c r="O7" s="63"/>
      <c r="P7" s="63"/>
      <c r="Q7" s="63"/>
    </row>
    <row r="8" spans="1:17" ht="21" customHeight="1">
      <c r="A8" s="8">
        <v>4</v>
      </c>
      <c r="B8" s="3" t="s">
        <v>49</v>
      </c>
      <c r="C8" s="63">
        <v>30867</v>
      </c>
      <c r="D8" s="63">
        <v>8400</v>
      </c>
      <c r="E8" s="63">
        <f t="shared" si="0"/>
        <v>39267</v>
      </c>
      <c r="F8" s="63">
        <v>20434</v>
      </c>
      <c r="G8" s="63">
        <v>4536</v>
      </c>
      <c r="H8" s="63">
        <f t="shared" si="1"/>
        <v>24970</v>
      </c>
      <c r="I8" s="63">
        <v>103606</v>
      </c>
      <c r="J8" s="63">
        <v>65938</v>
      </c>
      <c r="K8" s="63">
        <f t="shared" si="2"/>
        <v>169544</v>
      </c>
      <c r="L8" s="63">
        <v>91390</v>
      </c>
      <c r="M8" s="63">
        <v>62184</v>
      </c>
      <c r="N8" s="63">
        <f t="shared" si="3"/>
        <v>153574</v>
      </c>
      <c r="O8" s="63">
        <v>2</v>
      </c>
      <c r="P8" s="63">
        <v>1</v>
      </c>
      <c r="Q8" s="63">
        <f t="shared" si="4"/>
        <v>3</v>
      </c>
    </row>
    <row r="9" spans="1:17" ht="21" customHeight="1">
      <c r="A9" s="8">
        <v>5</v>
      </c>
      <c r="B9" s="3" t="s">
        <v>19</v>
      </c>
      <c r="C9" s="63">
        <v>20534</v>
      </c>
      <c r="D9" s="63">
        <v>11346</v>
      </c>
      <c r="E9" s="63">
        <f t="shared" si="0"/>
        <v>31880</v>
      </c>
      <c r="F9" s="63">
        <v>8100</v>
      </c>
      <c r="G9" s="63">
        <v>5282</v>
      </c>
      <c r="H9" s="63">
        <f t="shared" si="1"/>
        <v>13382</v>
      </c>
      <c r="I9" s="63">
        <v>39038</v>
      </c>
      <c r="J9" s="63">
        <v>22103</v>
      </c>
      <c r="K9" s="63">
        <f t="shared" si="2"/>
        <v>61141</v>
      </c>
      <c r="L9" s="63">
        <v>69422</v>
      </c>
      <c r="M9" s="63">
        <v>41306</v>
      </c>
      <c r="N9" s="63">
        <f t="shared" si="3"/>
        <v>110728</v>
      </c>
      <c r="O9" s="63">
        <v>861</v>
      </c>
      <c r="P9" s="63">
        <v>1219</v>
      </c>
      <c r="Q9" s="63">
        <f t="shared" si="4"/>
        <v>2080</v>
      </c>
    </row>
    <row r="10" spans="1:17" ht="21" customHeight="1">
      <c r="A10" s="8">
        <v>6</v>
      </c>
      <c r="B10" s="2" t="s">
        <v>20</v>
      </c>
      <c r="C10" s="63">
        <v>616</v>
      </c>
      <c r="D10" s="63">
        <v>833</v>
      </c>
      <c r="E10" s="63">
        <f t="shared" si="0"/>
        <v>1449</v>
      </c>
      <c r="F10" s="63">
        <v>1162</v>
      </c>
      <c r="G10" s="63">
        <v>1942</v>
      </c>
      <c r="H10" s="63">
        <f t="shared" si="1"/>
        <v>3104</v>
      </c>
      <c r="I10" s="63">
        <v>680</v>
      </c>
      <c r="J10" s="63">
        <v>1846</v>
      </c>
      <c r="K10" s="63">
        <f t="shared" si="2"/>
        <v>2526</v>
      </c>
      <c r="L10" s="63">
        <v>363</v>
      </c>
      <c r="M10" s="63">
        <v>3678</v>
      </c>
      <c r="N10" s="63">
        <f t="shared" si="3"/>
        <v>4041</v>
      </c>
      <c r="O10" s="63"/>
      <c r="P10" s="63"/>
      <c r="Q10" s="63"/>
    </row>
    <row r="11" spans="1:17" ht="21" customHeight="1">
      <c r="A11" s="8">
        <v>7</v>
      </c>
      <c r="B11" s="2" t="s">
        <v>21</v>
      </c>
      <c r="C11" s="63">
        <v>28157</v>
      </c>
      <c r="D11" s="63">
        <v>12470</v>
      </c>
      <c r="E11" s="63">
        <f t="shared" si="0"/>
        <v>40627</v>
      </c>
      <c r="F11" s="63">
        <v>25254</v>
      </c>
      <c r="G11" s="63">
        <v>11835</v>
      </c>
      <c r="H11" s="63">
        <f t="shared" si="1"/>
        <v>37089</v>
      </c>
      <c r="I11" s="63">
        <v>119905</v>
      </c>
      <c r="J11" s="63">
        <v>124426</v>
      </c>
      <c r="K11" s="63">
        <f t="shared" si="2"/>
        <v>244331</v>
      </c>
      <c r="L11" s="63"/>
      <c r="M11" s="63"/>
      <c r="N11" s="63"/>
      <c r="O11" s="63"/>
      <c r="P11" s="63"/>
      <c r="Q11" s="63"/>
    </row>
    <row r="12" spans="1:17" ht="21" customHeight="1">
      <c r="A12" s="8">
        <v>8</v>
      </c>
      <c r="B12" s="2" t="s">
        <v>22</v>
      </c>
      <c r="C12" s="63">
        <v>31847</v>
      </c>
      <c r="D12" s="63">
        <v>28126</v>
      </c>
      <c r="E12" s="63">
        <f t="shared" si="0"/>
        <v>59973</v>
      </c>
      <c r="F12" s="63">
        <v>22497</v>
      </c>
      <c r="G12" s="63">
        <v>17328</v>
      </c>
      <c r="H12" s="63">
        <f t="shared" si="1"/>
        <v>39825</v>
      </c>
      <c r="I12" s="63">
        <v>13285</v>
      </c>
      <c r="J12" s="63">
        <v>9550</v>
      </c>
      <c r="K12" s="63">
        <f t="shared" si="2"/>
        <v>22835</v>
      </c>
      <c r="L12" s="63">
        <v>14823</v>
      </c>
      <c r="M12" s="63">
        <v>13121</v>
      </c>
      <c r="N12" s="63">
        <f t="shared" si="3"/>
        <v>27944</v>
      </c>
      <c r="O12" s="63">
        <v>7</v>
      </c>
      <c r="P12" s="63">
        <v>49</v>
      </c>
      <c r="Q12" s="63">
        <f t="shared" si="4"/>
        <v>56</v>
      </c>
    </row>
    <row r="13" spans="1:17" ht="21" customHeight="1">
      <c r="A13" s="8">
        <v>9</v>
      </c>
      <c r="B13" s="2" t="s">
        <v>50</v>
      </c>
      <c r="C13" s="63">
        <v>18034</v>
      </c>
      <c r="D13" s="63">
        <v>14256</v>
      </c>
      <c r="E13" s="63">
        <f t="shared" si="0"/>
        <v>32290</v>
      </c>
      <c r="F13" s="63">
        <v>6845</v>
      </c>
      <c r="G13" s="63">
        <v>7261</v>
      </c>
      <c r="H13" s="63">
        <f t="shared" si="1"/>
        <v>14106</v>
      </c>
      <c r="I13" s="63">
        <v>8785</v>
      </c>
      <c r="J13" s="63">
        <v>6115</v>
      </c>
      <c r="K13" s="63">
        <f t="shared" si="2"/>
        <v>14900</v>
      </c>
      <c r="L13" s="63">
        <v>15884</v>
      </c>
      <c r="M13" s="63">
        <v>12887</v>
      </c>
      <c r="N13" s="63">
        <f t="shared" si="3"/>
        <v>28771</v>
      </c>
      <c r="O13" s="63"/>
      <c r="P13" s="63">
        <v>21</v>
      </c>
      <c r="Q13" s="63">
        <f t="shared" si="4"/>
        <v>21</v>
      </c>
    </row>
    <row r="14" spans="1:17" s="24" customFormat="1" ht="21" customHeight="1">
      <c r="A14" s="25">
        <v>10</v>
      </c>
      <c r="B14" s="2" t="s">
        <v>51</v>
      </c>
      <c r="C14" s="63">
        <v>10757</v>
      </c>
      <c r="D14" s="63">
        <v>7732</v>
      </c>
      <c r="E14" s="63">
        <f t="shared" si="0"/>
        <v>18489</v>
      </c>
      <c r="F14" s="63">
        <v>14310</v>
      </c>
      <c r="G14" s="63">
        <v>11060</v>
      </c>
      <c r="H14" s="63">
        <f t="shared" si="1"/>
        <v>25370</v>
      </c>
      <c r="I14" s="63">
        <v>25007</v>
      </c>
      <c r="J14" s="63">
        <v>20144</v>
      </c>
      <c r="K14" s="63">
        <f t="shared" si="2"/>
        <v>45151</v>
      </c>
      <c r="L14" s="63">
        <v>35870</v>
      </c>
      <c r="M14" s="63">
        <v>23278</v>
      </c>
      <c r="N14" s="63">
        <f t="shared" si="3"/>
        <v>59148</v>
      </c>
      <c r="O14" s="63">
        <v>40</v>
      </c>
      <c r="P14" s="63">
        <v>188</v>
      </c>
      <c r="Q14" s="63">
        <f t="shared" si="4"/>
        <v>228</v>
      </c>
    </row>
    <row r="15" spans="1:17" s="24" customFormat="1" ht="21" customHeight="1">
      <c r="A15" s="25">
        <v>11</v>
      </c>
      <c r="B15" s="2" t="s">
        <v>52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1:17" ht="21" customHeight="1">
      <c r="A16" s="8">
        <v>12</v>
      </c>
      <c r="B16" s="2" t="s">
        <v>25</v>
      </c>
      <c r="C16" s="63">
        <v>18206</v>
      </c>
      <c r="D16" s="63">
        <v>8416</v>
      </c>
      <c r="E16" s="63">
        <f t="shared" si="0"/>
        <v>26622</v>
      </c>
      <c r="F16" s="63">
        <v>67757</v>
      </c>
      <c r="G16" s="63">
        <v>61475</v>
      </c>
      <c r="H16" s="63">
        <f t="shared" si="1"/>
        <v>129232</v>
      </c>
      <c r="I16" s="63">
        <v>97738</v>
      </c>
      <c r="J16" s="63">
        <v>142103</v>
      </c>
      <c r="K16" s="63">
        <f t="shared" si="2"/>
        <v>239841</v>
      </c>
      <c r="L16" s="63">
        <v>29780</v>
      </c>
      <c r="M16" s="63">
        <v>31154</v>
      </c>
      <c r="N16" s="63">
        <f t="shared" si="3"/>
        <v>60934</v>
      </c>
      <c r="O16" s="63"/>
      <c r="P16" s="63"/>
      <c r="Q16" s="63"/>
    </row>
    <row r="17" spans="1:17" ht="21" customHeight="1">
      <c r="A17" s="8">
        <v>13</v>
      </c>
      <c r="B17" s="2" t="s">
        <v>53</v>
      </c>
      <c r="C17" s="63">
        <v>33425</v>
      </c>
      <c r="D17" s="63">
        <v>82177</v>
      </c>
      <c r="E17" s="63">
        <f t="shared" si="0"/>
        <v>115602</v>
      </c>
      <c r="F17" s="63">
        <v>9333</v>
      </c>
      <c r="G17" s="63">
        <v>29914</v>
      </c>
      <c r="H17" s="63">
        <f t="shared" si="1"/>
        <v>39247</v>
      </c>
      <c r="I17" s="63">
        <v>12680</v>
      </c>
      <c r="J17" s="63">
        <v>29830</v>
      </c>
      <c r="K17" s="63">
        <f t="shared" si="2"/>
        <v>42510</v>
      </c>
      <c r="L17" s="63">
        <v>9444</v>
      </c>
      <c r="M17" s="63">
        <v>29600</v>
      </c>
      <c r="N17" s="63">
        <f t="shared" si="3"/>
        <v>39044</v>
      </c>
      <c r="O17" s="63"/>
      <c r="P17" s="63"/>
      <c r="Q17" s="63"/>
    </row>
    <row r="18" spans="1:17" ht="21" customHeight="1">
      <c r="A18" s="8">
        <v>14</v>
      </c>
      <c r="B18" s="2" t="s">
        <v>27</v>
      </c>
      <c r="C18" s="63">
        <v>38711</v>
      </c>
      <c r="D18" s="63">
        <v>29402</v>
      </c>
      <c r="E18" s="63">
        <f t="shared" si="0"/>
        <v>68113</v>
      </c>
      <c r="F18" s="63">
        <v>31469</v>
      </c>
      <c r="G18" s="63">
        <v>24651</v>
      </c>
      <c r="H18" s="63">
        <f t="shared" si="1"/>
        <v>56120</v>
      </c>
      <c r="I18" s="63">
        <v>57204</v>
      </c>
      <c r="J18" s="63">
        <v>24998</v>
      </c>
      <c r="K18" s="63">
        <f t="shared" si="2"/>
        <v>82202</v>
      </c>
      <c r="L18" s="63">
        <v>132163</v>
      </c>
      <c r="M18" s="63">
        <v>59542</v>
      </c>
      <c r="N18" s="63">
        <f t="shared" si="3"/>
        <v>191705</v>
      </c>
      <c r="O18" s="63"/>
      <c r="P18" s="63"/>
      <c r="Q18" s="63"/>
    </row>
    <row r="19" spans="1:17" ht="21" customHeight="1">
      <c r="A19" s="8">
        <v>15</v>
      </c>
      <c r="B19" s="2" t="s">
        <v>28</v>
      </c>
      <c r="C19" s="63">
        <f>0+91317</f>
        <v>91317</v>
      </c>
      <c r="D19" s="63">
        <f>0+40489</f>
        <v>40489</v>
      </c>
      <c r="E19" s="63">
        <f t="shared" si="0"/>
        <v>131806</v>
      </c>
      <c r="F19" s="63">
        <f>0+106282</f>
        <v>106282</v>
      </c>
      <c r="G19" s="63">
        <f>0+61380</f>
        <v>61380</v>
      </c>
      <c r="H19" s="63">
        <f t="shared" si="1"/>
        <v>167662</v>
      </c>
      <c r="I19" s="63">
        <f>0+111658</f>
        <v>111658</v>
      </c>
      <c r="J19" s="63">
        <f>0+102881</f>
        <v>102881</v>
      </c>
      <c r="K19" s="63">
        <f t="shared" si="2"/>
        <v>214539</v>
      </c>
      <c r="L19" s="63">
        <f>0+81836</f>
        <v>81836</v>
      </c>
      <c r="M19" s="63">
        <f>0+66290</f>
        <v>66290</v>
      </c>
      <c r="N19" s="63">
        <f t="shared" si="3"/>
        <v>148126</v>
      </c>
      <c r="O19" s="63"/>
      <c r="P19" s="63">
        <v>56145</v>
      </c>
      <c r="Q19" s="63">
        <v>56145</v>
      </c>
    </row>
    <row r="20" spans="1:17" ht="21" customHeight="1">
      <c r="A20" s="8">
        <v>16</v>
      </c>
      <c r="B20" s="2" t="s">
        <v>29</v>
      </c>
      <c r="C20" s="63">
        <v>2004</v>
      </c>
      <c r="D20" s="63">
        <v>1807</v>
      </c>
      <c r="E20" s="63">
        <f t="shared" si="0"/>
        <v>3811</v>
      </c>
      <c r="F20" s="63">
        <v>6502</v>
      </c>
      <c r="G20" s="63">
        <v>5657</v>
      </c>
      <c r="H20" s="63">
        <f t="shared" si="1"/>
        <v>12159</v>
      </c>
      <c r="I20" s="63">
        <v>3128</v>
      </c>
      <c r="J20" s="63">
        <v>2735</v>
      </c>
      <c r="K20" s="63">
        <f t="shared" si="2"/>
        <v>5863</v>
      </c>
      <c r="L20" s="63">
        <v>5359</v>
      </c>
      <c r="M20" s="63">
        <v>3707</v>
      </c>
      <c r="N20" s="63">
        <f t="shared" si="3"/>
        <v>9066</v>
      </c>
      <c r="O20" s="63"/>
      <c r="P20" s="63">
        <v>4</v>
      </c>
      <c r="Q20" s="63">
        <f t="shared" si="4"/>
        <v>4</v>
      </c>
    </row>
    <row r="21" spans="1:17" ht="21" customHeight="1">
      <c r="A21" s="8">
        <v>17</v>
      </c>
      <c r="B21" s="2" t="s">
        <v>30</v>
      </c>
      <c r="C21" s="63">
        <v>1490</v>
      </c>
      <c r="D21" s="63">
        <v>1536</v>
      </c>
      <c r="E21" s="63">
        <f t="shared" si="0"/>
        <v>3026</v>
      </c>
      <c r="F21" s="63">
        <v>3630</v>
      </c>
      <c r="G21" s="63">
        <v>2737</v>
      </c>
      <c r="H21" s="63">
        <f t="shared" si="1"/>
        <v>6367</v>
      </c>
      <c r="I21" s="63">
        <v>8430</v>
      </c>
      <c r="J21" s="63">
        <v>7601</v>
      </c>
      <c r="K21" s="63">
        <f t="shared" si="2"/>
        <v>16031</v>
      </c>
      <c r="L21" s="63">
        <v>10320</v>
      </c>
      <c r="M21" s="63">
        <v>13886</v>
      </c>
      <c r="N21" s="63">
        <f t="shared" si="3"/>
        <v>24206</v>
      </c>
      <c r="O21" s="63">
        <v>281</v>
      </c>
      <c r="P21" s="63">
        <v>430</v>
      </c>
      <c r="Q21" s="63">
        <f t="shared" si="4"/>
        <v>711</v>
      </c>
    </row>
    <row r="22" spans="1:17" ht="21" customHeight="1">
      <c r="A22" s="8">
        <v>2</v>
      </c>
      <c r="B22" s="2" t="s">
        <v>31</v>
      </c>
      <c r="C22" s="63">
        <v>794</v>
      </c>
      <c r="D22" s="63">
        <v>573</v>
      </c>
      <c r="E22" s="63">
        <f t="shared" si="0"/>
        <v>1367</v>
      </c>
      <c r="F22" s="63">
        <v>2785</v>
      </c>
      <c r="G22" s="63">
        <v>1427</v>
      </c>
      <c r="H22" s="63">
        <f t="shared" si="1"/>
        <v>4212</v>
      </c>
      <c r="I22" s="63">
        <v>6005</v>
      </c>
      <c r="J22" s="63">
        <v>3633</v>
      </c>
      <c r="K22" s="63">
        <f t="shared" si="2"/>
        <v>9638</v>
      </c>
      <c r="L22" s="63">
        <v>4050</v>
      </c>
      <c r="M22" s="63">
        <v>4438</v>
      </c>
      <c r="N22" s="63">
        <f t="shared" si="3"/>
        <v>8488</v>
      </c>
      <c r="O22" s="63"/>
      <c r="P22" s="63"/>
      <c r="Q22" s="63"/>
    </row>
    <row r="23" spans="1:17" s="24" customFormat="1" ht="21" customHeight="1">
      <c r="A23" s="25">
        <v>19</v>
      </c>
      <c r="B23" s="2" t="s">
        <v>54</v>
      </c>
      <c r="C23" s="63">
        <v>1193</v>
      </c>
      <c r="D23" s="63">
        <v>1201</v>
      </c>
      <c r="E23" s="63">
        <f t="shared" si="0"/>
        <v>2394</v>
      </c>
      <c r="F23" s="63">
        <v>4001</v>
      </c>
      <c r="G23" s="63">
        <v>2627</v>
      </c>
      <c r="H23" s="63">
        <f t="shared" si="1"/>
        <v>6628</v>
      </c>
      <c r="I23" s="63">
        <v>3703</v>
      </c>
      <c r="J23" s="63">
        <v>2101</v>
      </c>
      <c r="K23" s="63">
        <f t="shared" si="2"/>
        <v>5804</v>
      </c>
      <c r="L23" s="63">
        <v>4995</v>
      </c>
      <c r="M23" s="63">
        <v>2961</v>
      </c>
      <c r="N23" s="63">
        <f t="shared" si="3"/>
        <v>7956</v>
      </c>
      <c r="O23" s="63"/>
      <c r="P23" s="63"/>
      <c r="Q23" s="63"/>
    </row>
    <row r="24" spans="1:17" ht="21" customHeight="1">
      <c r="A24" s="8">
        <v>20</v>
      </c>
      <c r="B24" s="2" t="s">
        <v>55</v>
      </c>
      <c r="C24" s="63">
        <v>19152</v>
      </c>
      <c r="D24" s="63">
        <v>6036</v>
      </c>
      <c r="E24" s="63">
        <f t="shared" si="0"/>
        <v>25188</v>
      </c>
      <c r="F24" s="63">
        <v>46759</v>
      </c>
      <c r="G24" s="63">
        <v>16040</v>
      </c>
      <c r="H24" s="63">
        <f t="shared" si="1"/>
        <v>62799</v>
      </c>
      <c r="I24" s="63">
        <v>35684</v>
      </c>
      <c r="J24" s="63">
        <v>18310</v>
      </c>
      <c r="K24" s="63">
        <f t="shared" si="2"/>
        <v>53994</v>
      </c>
      <c r="L24" s="63">
        <v>78529</v>
      </c>
      <c r="M24" s="63">
        <v>58178</v>
      </c>
      <c r="N24" s="63">
        <f t="shared" si="3"/>
        <v>136707</v>
      </c>
      <c r="O24" s="63"/>
      <c r="P24" s="63"/>
      <c r="Q24" s="63"/>
    </row>
    <row r="25" spans="1:17" ht="21" customHeight="1">
      <c r="A25" s="8">
        <v>21</v>
      </c>
      <c r="B25" s="2" t="s">
        <v>56</v>
      </c>
      <c r="C25" s="63">
        <v>18673</v>
      </c>
      <c r="D25" s="63">
        <v>40778</v>
      </c>
      <c r="E25" s="63">
        <f t="shared" si="0"/>
        <v>59451</v>
      </c>
      <c r="F25" s="63">
        <v>11852</v>
      </c>
      <c r="G25" s="63">
        <v>25996</v>
      </c>
      <c r="H25" s="63">
        <f t="shared" si="1"/>
        <v>37848</v>
      </c>
      <c r="I25" s="63">
        <v>7255</v>
      </c>
      <c r="J25" s="63">
        <v>12583</v>
      </c>
      <c r="K25" s="63">
        <f t="shared" si="2"/>
        <v>19838</v>
      </c>
      <c r="L25" s="63">
        <v>14777</v>
      </c>
      <c r="M25" s="63">
        <v>25991</v>
      </c>
      <c r="N25" s="63">
        <f t="shared" si="3"/>
        <v>40768</v>
      </c>
      <c r="O25" s="63"/>
      <c r="P25" s="63"/>
      <c r="Q25" s="63"/>
    </row>
    <row r="26" spans="1:17" ht="21" customHeight="1">
      <c r="A26" s="8">
        <v>22</v>
      </c>
      <c r="B26" s="2" t="s">
        <v>32</v>
      </c>
      <c r="C26" s="63">
        <v>79859</v>
      </c>
      <c r="D26" s="63">
        <v>33438</v>
      </c>
      <c r="E26" s="63">
        <f t="shared" si="0"/>
        <v>113297</v>
      </c>
      <c r="F26" s="63">
        <v>76702</v>
      </c>
      <c r="G26" s="63">
        <v>30571</v>
      </c>
      <c r="H26" s="63">
        <f t="shared" si="1"/>
        <v>107273</v>
      </c>
      <c r="I26" s="63">
        <v>161251</v>
      </c>
      <c r="J26" s="63">
        <v>75499</v>
      </c>
      <c r="K26" s="63">
        <f t="shared" si="2"/>
        <v>236750</v>
      </c>
      <c r="L26" s="63">
        <v>72056</v>
      </c>
      <c r="M26" s="63">
        <v>33621</v>
      </c>
      <c r="N26" s="63">
        <f t="shared" si="3"/>
        <v>105677</v>
      </c>
      <c r="O26" s="63">
        <v>5</v>
      </c>
      <c r="P26" s="63">
        <v>2</v>
      </c>
      <c r="Q26" s="63">
        <f t="shared" si="4"/>
        <v>7</v>
      </c>
    </row>
    <row r="27" spans="1:17" ht="21" customHeight="1">
      <c r="A27" s="8">
        <v>23</v>
      </c>
      <c r="B27" s="2" t="s">
        <v>33</v>
      </c>
      <c r="C27" s="63">
        <v>1209</v>
      </c>
      <c r="D27" s="63">
        <v>1279</v>
      </c>
      <c r="E27" s="63">
        <f t="shared" si="0"/>
        <v>2488</v>
      </c>
      <c r="F27" s="63">
        <v>1298</v>
      </c>
      <c r="G27" s="63">
        <v>1323</v>
      </c>
      <c r="H27" s="63">
        <f t="shared" si="1"/>
        <v>2621</v>
      </c>
      <c r="I27" s="63">
        <v>1867</v>
      </c>
      <c r="J27" s="63">
        <v>1990</v>
      </c>
      <c r="K27" s="63">
        <f t="shared" si="2"/>
        <v>3857</v>
      </c>
      <c r="L27" s="63">
        <v>1764</v>
      </c>
      <c r="M27" s="63">
        <v>1833</v>
      </c>
      <c r="N27" s="63">
        <f t="shared" si="3"/>
        <v>3597</v>
      </c>
      <c r="O27" s="63"/>
      <c r="P27" s="63"/>
      <c r="Q27" s="63">
        <f t="shared" si="4"/>
        <v>0</v>
      </c>
    </row>
    <row r="28" spans="1:17" ht="21" customHeight="1">
      <c r="A28" s="8">
        <v>24</v>
      </c>
      <c r="B28" s="2" t="s">
        <v>34</v>
      </c>
      <c r="C28" s="63">
        <v>42721</v>
      </c>
      <c r="D28" s="63">
        <v>52673</v>
      </c>
      <c r="E28" s="63">
        <f t="shared" si="0"/>
        <v>95394</v>
      </c>
      <c r="F28" s="63">
        <v>13470</v>
      </c>
      <c r="G28" s="63">
        <v>17522</v>
      </c>
      <c r="H28" s="63">
        <f t="shared" si="1"/>
        <v>30992</v>
      </c>
      <c r="I28" s="63">
        <v>18473</v>
      </c>
      <c r="J28" s="63">
        <v>37035</v>
      </c>
      <c r="K28" s="63">
        <f t="shared" si="2"/>
        <v>55508</v>
      </c>
      <c r="L28" s="63">
        <v>24473</v>
      </c>
      <c r="M28" s="63">
        <v>70577</v>
      </c>
      <c r="N28" s="63">
        <f t="shared" si="3"/>
        <v>95050</v>
      </c>
      <c r="O28" s="63">
        <v>847</v>
      </c>
      <c r="P28" s="63">
        <v>10917</v>
      </c>
      <c r="Q28" s="63">
        <f t="shared" si="4"/>
        <v>11764</v>
      </c>
    </row>
    <row r="29" spans="1:17" ht="21" customHeight="1">
      <c r="A29" s="8">
        <v>25</v>
      </c>
      <c r="B29" s="2" t="s">
        <v>35</v>
      </c>
      <c r="C29" s="63">
        <v>7002</v>
      </c>
      <c r="D29" s="63">
        <v>4178</v>
      </c>
      <c r="E29" s="63">
        <f t="shared" si="0"/>
        <v>11180</v>
      </c>
      <c r="F29" s="63">
        <v>7518</v>
      </c>
      <c r="G29" s="63">
        <v>2767</v>
      </c>
      <c r="H29" s="63">
        <f t="shared" si="1"/>
        <v>10285</v>
      </c>
      <c r="I29" s="63">
        <v>8964</v>
      </c>
      <c r="J29" s="63">
        <v>2711</v>
      </c>
      <c r="K29" s="63">
        <f t="shared" si="2"/>
        <v>11675</v>
      </c>
      <c r="L29" s="63">
        <v>6537</v>
      </c>
      <c r="M29" s="63">
        <v>2163</v>
      </c>
      <c r="N29" s="63">
        <f t="shared" si="3"/>
        <v>8700</v>
      </c>
      <c r="O29" s="63"/>
      <c r="P29" s="63"/>
      <c r="Q29" s="63"/>
    </row>
    <row r="30" spans="1:17" ht="21" customHeight="1">
      <c r="A30" s="8">
        <v>26</v>
      </c>
      <c r="B30" s="2" t="s">
        <v>36</v>
      </c>
      <c r="C30" s="63">
        <v>159649</v>
      </c>
      <c r="D30" s="63">
        <v>29766</v>
      </c>
      <c r="E30" s="63">
        <f t="shared" si="0"/>
        <v>189415</v>
      </c>
      <c r="F30" s="63">
        <v>49077</v>
      </c>
      <c r="G30" s="63">
        <v>12811</v>
      </c>
      <c r="H30" s="63">
        <f t="shared" si="1"/>
        <v>61888</v>
      </c>
      <c r="I30" s="63">
        <v>182530</v>
      </c>
      <c r="J30" s="63">
        <v>86430</v>
      </c>
      <c r="K30" s="63">
        <f t="shared" si="2"/>
        <v>268960</v>
      </c>
      <c r="L30" s="63">
        <v>224573</v>
      </c>
      <c r="M30" s="63">
        <v>135727</v>
      </c>
      <c r="N30" s="63">
        <f t="shared" si="3"/>
        <v>360300</v>
      </c>
      <c r="O30" s="63"/>
      <c r="P30" s="63"/>
      <c r="Q30" s="63"/>
    </row>
    <row r="31" spans="1:17" ht="21" customHeight="1">
      <c r="A31" s="8">
        <v>27</v>
      </c>
      <c r="B31" s="2" t="s">
        <v>37</v>
      </c>
      <c r="C31" s="63">
        <v>10047</v>
      </c>
      <c r="D31" s="63">
        <v>3151</v>
      </c>
      <c r="E31" s="63">
        <f t="shared" si="0"/>
        <v>13198</v>
      </c>
      <c r="F31" s="63">
        <v>16274</v>
      </c>
      <c r="G31" s="63">
        <v>7329</v>
      </c>
      <c r="H31" s="63">
        <f t="shared" si="1"/>
        <v>23603</v>
      </c>
      <c r="I31" s="63">
        <v>11304</v>
      </c>
      <c r="J31" s="63">
        <v>8727</v>
      </c>
      <c r="K31" s="63">
        <f t="shared" si="2"/>
        <v>20031</v>
      </c>
      <c r="L31" s="63">
        <v>21286</v>
      </c>
      <c r="M31" s="63">
        <v>24498</v>
      </c>
      <c r="N31" s="63">
        <f t="shared" si="3"/>
        <v>45784</v>
      </c>
      <c r="O31" s="63"/>
      <c r="P31" s="63"/>
      <c r="Q31" s="63"/>
    </row>
    <row r="32" spans="1:17" ht="21" customHeight="1">
      <c r="A32" s="8">
        <v>28</v>
      </c>
      <c r="B32" s="2" t="s">
        <v>57</v>
      </c>
      <c r="C32" s="63">
        <v>17323</v>
      </c>
      <c r="D32" s="63">
        <v>10038</v>
      </c>
      <c r="E32" s="63">
        <f t="shared" si="0"/>
        <v>27361</v>
      </c>
      <c r="F32" s="63">
        <v>13191</v>
      </c>
      <c r="G32" s="63">
        <v>7487</v>
      </c>
      <c r="H32" s="63">
        <f t="shared" si="1"/>
        <v>20678</v>
      </c>
      <c r="I32" s="63">
        <v>18794</v>
      </c>
      <c r="J32" s="63">
        <v>6657</v>
      </c>
      <c r="K32" s="63">
        <f t="shared" si="2"/>
        <v>25451</v>
      </c>
      <c r="L32" s="63">
        <v>147433</v>
      </c>
      <c r="M32" s="63">
        <v>119560</v>
      </c>
      <c r="N32" s="63">
        <f t="shared" si="3"/>
        <v>266993</v>
      </c>
      <c r="O32" s="63"/>
      <c r="P32" s="63"/>
      <c r="Q32" s="63"/>
    </row>
    <row r="33" spans="1:17" ht="21" customHeight="1">
      <c r="A33" s="8">
        <v>29</v>
      </c>
      <c r="B33" s="2" t="s">
        <v>39</v>
      </c>
      <c r="C33" s="63">
        <v>1037</v>
      </c>
      <c r="D33" s="63">
        <v>1300</v>
      </c>
      <c r="E33" s="63">
        <f t="shared" si="0"/>
        <v>2337</v>
      </c>
      <c r="F33" s="63">
        <v>365</v>
      </c>
      <c r="G33" s="63">
        <v>581</v>
      </c>
      <c r="H33" s="63">
        <f t="shared" si="1"/>
        <v>946</v>
      </c>
      <c r="I33" s="63">
        <v>357</v>
      </c>
      <c r="J33" s="63">
        <v>575</v>
      </c>
      <c r="K33" s="63">
        <f t="shared" si="2"/>
        <v>932</v>
      </c>
      <c r="L33" s="63">
        <v>392</v>
      </c>
      <c r="M33" s="63">
        <v>641</v>
      </c>
      <c r="N33" s="63">
        <f t="shared" si="3"/>
        <v>1033</v>
      </c>
      <c r="O33" s="63">
        <v>10</v>
      </c>
      <c r="P33" s="63">
        <v>115</v>
      </c>
      <c r="Q33" s="63">
        <f t="shared" si="4"/>
        <v>125</v>
      </c>
    </row>
    <row r="34" spans="1:17" ht="21" customHeight="1">
      <c r="A34" s="8">
        <v>30</v>
      </c>
      <c r="B34" s="2" t="s">
        <v>40</v>
      </c>
      <c r="C34" s="63">
        <v>1080</v>
      </c>
      <c r="D34" s="63">
        <v>4708</v>
      </c>
      <c r="E34" s="63">
        <f t="shared" si="0"/>
        <v>5788</v>
      </c>
      <c r="F34" s="63"/>
      <c r="G34" s="63"/>
      <c r="H34" s="63">
        <f t="shared" si="1"/>
        <v>0</v>
      </c>
      <c r="I34" s="63">
        <v>143</v>
      </c>
      <c r="J34" s="63">
        <v>522</v>
      </c>
      <c r="K34" s="63">
        <f t="shared" si="2"/>
        <v>665</v>
      </c>
      <c r="L34" s="63">
        <v>30</v>
      </c>
      <c r="M34" s="63">
        <v>120</v>
      </c>
      <c r="N34" s="63">
        <f t="shared" si="3"/>
        <v>150</v>
      </c>
      <c r="O34" s="63">
        <v>0</v>
      </c>
      <c r="P34" s="63">
        <v>0</v>
      </c>
      <c r="Q34" s="63">
        <f t="shared" si="4"/>
        <v>0</v>
      </c>
    </row>
    <row r="35" spans="1:17" ht="21" customHeight="1">
      <c r="A35" s="8">
        <v>31</v>
      </c>
      <c r="B35" s="2" t="s">
        <v>41</v>
      </c>
      <c r="C35" s="63">
        <v>67</v>
      </c>
      <c r="D35" s="63">
        <v>87</v>
      </c>
      <c r="E35" s="63">
        <f t="shared" si="0"/>
        <v>154</v>
      </c>
      <c r="F35" s="63">
        <v>193</v>
      </c>
      <c r="G35" s="63">
        <v>193</v>
      </c>
      <c r="H35" s="63">
        <f t="shared" si="1"/>
        <v>386</v>
      </c>
      <c r="I35" s="63">
        <v>249</v>
      </c>
      <c r="J35" s="63">
        <v>329</v>
      </c>
      <c r="K35" s="63">
        <f t="shared" si="2"/>
        <v>578</v>
      </c>
      <c r="L35" s="63">
        <v>362</v>
      </c>
      <c r="M35" s="63">
        <v>565</v>
      </c>
      <c r="N35" s="63">
        <f t="shared" si="3"/>
        <v>927</v>
      </c>
      <c r="O35" s="63">
        <v>0</v>
      </c>
      <c r="P35" s="63">
        <v>0</v>
      </c>
      <c r="Q35" s="63">
        <f t="shared" si="4"/>
        <v>0</v>
      </c>
    </row>
    <row r="36" spans="1:17" ht="21" customHeight="1">
      <c r="A36" s="8">
        <v>32</v>
      </c>
      <c r="B36" s="2" t="s">
        <v>42</v>
      </c>
      <c r="C36" s="63">
        <v>53</v>
      </c>
      <c r="D36" s="63">
        <v>39</v>
      </c>
      <c r="E36" s="63">
        <f t="shared" si="0"/>
        <v>92</v>
      </c>
      <c r="F36" s="63">
        <v>145</v>
      </c>
      <c r="G36" s="63">
        <v>124</v>
      </c>
      <c r="H36" s="63">
        <f t="shared" si="1"/>
        <v>269</v>
      </c>
      <c r="I36" s="63">
        <v>130</v>
      </c>
      <c r="J36" s="63">
        <v>345</v>
      </c>
      <c r="K36" s="63">
        <f t="shared" si="2"/>
        <v>475</v>
      </c>
      <c r="L36" s="63">
        <v>80</v>
      </c>
      <c r="M36" s="63">
        <v>262</v>
      </c>
      <c r="N36" s="63">
        <f t="shared" si="3"/>
        <v>342</v>
      </c>
      <c r="O36" s="63">
        <v>0</v>
      </c>
      <c r="P36" s="63">
        <v>124</v>
      </c>
      <c r="Q36" s="63">
        <f t="shared" si="4"/>
        <v>124</v>
      </c>
    </row>
    <row r="37" spans="1:17" ht="21" customHeight="1">
      <c r="A37" s="8">
        <v>33</v>
      </c>
      <c r="B37" s="2" t="s">
        <v>43</v>
      </c>
      <c r="C37" s="63">
        <v>20764</v>
      </c>
      <c r="D37" s="63">
        <v>50742</v>
      </c>
      <c r="E37" s="63">
        <f t="shared" si="0"/>
        <v>71506</v>
      </c>
      <c r="F37" s="63">
        <v>3328</v>
      </c>
      <c r="G37" s="63">
        <v>7536</v>
      </c>
      <c r="H37" s="63">
        <f t="shared" si="1"/>
        <v>10864</v>
      </c>
      <c r="I37" s="63">
        <v>1284</v>
      </c>
      <c r="J37" s="63">
        <v>6745</v>
      </c>
      <c r="K37" s="63">
        <f t="shared" si="2"/>
        <v>8029</v>
      </c>
      <c r="L37" s="63">
        <v>7867</v>
      </c>
      <c r="M37" s="63">
        <v>20086</v>
      </c>
      <c r="N37" s="63">
        <f t="shared" si="3"/>
        <v>27953</v>
      </c>
      <c r="O37" s="63">
        <v>1</v>
      </c>
      <c r="P37" s="63">
        <v>186</v>
      </c>
      <c r="Q37" s="63">
        <f t="shared" si="4"/>
        <v>187</v>
      </c>
    </row>
    <row r="38" spans="1:17" ht="21" customHeight="1">
      <c r="A38" s="8">
        <v>34</v>
      </c>
      <c r="B38" s="2" t="s">
        <v>58</v>
      </c>
      <c r="C38" s="63">
        <v>340</v>
      </c>
      <c r="D38" s="63">
        <v>174</v>
      </c>
      <c r="E38" s="63">
        <f t="shared" si="0"/>
        <v>514</v>
      </c>
      <c r="F38" s="63">
        <v>16</v>
      </c>
      <c r="G38" s="63">
        <v>1</v>
      </c>
      <c r="H38" s="63">
        <f t="shared" si="1"/>
        <v>17</v>
      </c>
      <c r="I38" s="63">
        <v>83</v>
      </c>
      <c r="J38" s="63">
        <v>72</v>
      </c>
      <c r="K38" s="63">
        <f t="shared" si="2"/>
        <v>155</v>
      </c>
      <c r="L38" s="63">
        <v>132</v>
      </c>
      <c r="M38" s="63">
        <v>104</v>
      </c>
      <c r="N38" s="63">
        <f t="shared" si="3"/>
        <v>236</v>
      </c>
      <c r="O38" s="63">
        <v>0</v>
      </c>
      <c r="P38" s="63">
        <v>47</v>
      </c>
      <c r="Q38" s="63">
        <f t="shared" si="4"/>
        <v>47</v>
      </c>
    </row>
    <row r="39" spans="1:17" ht="21" customHeight="1">
      <c r="A39" s="8">
        <v>35</v>
      </c>
      <c r="B39" s="2" t="s">
        <v>45</v>
      </c>
      <c r="C39" s="63">
        <v>176</v>
      </c>
      <c r="D39" s="63">
        <v>112</v>
      </c>
      <c r="E39" s="63">
        <f t="shared" si="0"/>
        <v>288</v>
      </c>
      <c r="F39" s="63">
        <v>154</v>
      </c>
      <c r="G39" s="63">
        <v>306</v>
      </c>
      <c r="H39" s="63">
        <f t="shared" si="1"/>
        <v>460</v>
      </c>
      <c r="I39" s="63">
        <v>1918</v>
      </c>
      <c r="J39" s="63">
        <v>3227</v>
      </c>
      <c r="K39" s="63">
        <f t="shared" si="2"/>
        <v>5145</v>
      </c>
      <c r="L39" s="63">
        <v>854</v>
      </c>
      <c r="M39" s="63">
        <v>3410</v>
      </c>
      <c r="N39" s="63">
        <f t="shared" si="3"/>
        <v>4264</v>
      </c>
      <c r="O39" s="63">
        <v>0</v>
      </c>
      <c r="P39" s="63">
        <v>1311</v>
      </c>
      <c r="Q39" s="63">
        <f t="shared" si="4"/>
        <v>1311</v>
      </c>
    </row>
    <row r="40" spans="1:17" s="83" customFormat="1" ht="21" customHeight="1">
      <c r="A40" s="286" t="s">
        <v>46</v>
      </c>
      <c r="B40" s="286"/>
      <c r="C40" s="82">
        <f>SUM(C5:C39)</f>
        <v>783096</v>
      </c>
      <c r="D40" s="82">
        <f t="shared" ref="D40:Q40" si="5">SUM(D5:D39)</f>
        <v>520050</v>
      </c>
      <c r="E40" s="82">
        <f t="shared" si="5"/>
        <v>1303146</v>
      </c>
      <c r="F40" s="82">
        <f t="shared" si="5"/>
        <v>700440</v>
      </c>
      <c r="G40" s="82">
        <f t="shared" si="5"/>
        <v>462376</v>
      </c>
      <c r="H40" s="82">
        <f t="shared" si="5"/>
        <v>1162816</v>
      </c>
      <c r="I40" s="82">
        <f t="shared" si="5"/>
        <v>1178748</v>
      </c>
      <c r="J40" s="82">
        <f t="shared" si="5"/>
        <v>895245</v>
      </c>
      <c r="K40" s="82">
        <f t="shared" si="5"/>
        <v>2073993</v>
      </c>
      <c r="L40" s="82">
        <f t="shared" si="5"/>
        <v>1258860</v>
      </c>
      <c r="M40" s="82">
        <f t="shared" si="5"/>
        <v>994907</v>
      </c>
      <c r="N40" s="82">
        <f t="shared" si="5"/>
        <v>2253767</v>
      </c>
      <c r="O40" s="82">
        <f t="shared" si="5"/>
        <v>2055</v>
      </c>
      <c r="P40" s="82">
        <f t="shared" si="5"/>
        <v>70795</v>
      </c>
      <c r="Q40" s="82">
        <f t="shared" si="5"/>
        <v>72850</v>
      </c>
    </row>
    <row r="43" spans="1:17">
      <c r="D43" s="5">
        <v>783096</v>
      </c>
      <c r="E43" s="5">
        <v>520050</v>
      </c>
      <c r="F43" s="5">
        <v>1303146</v>
      </c>
      <c r="G43" s="5">
        <v>700440</v>
      </c>
      <c r="H43" s="5">
        <v>462376</v>
      </c>
      <c r="I43" s="5">
        <v>1162816</v>
      </c>
      <c r="L43" s="5">
        <v>1258860</v>
      </c>
      <c r="M43" s="5">
        <v>994907</v>
      </c>
      <c r="N43" s="72">
        <v>2253767</v>
      </c>
    </row>
    <row r="44" spans="1:17">
      <c r="D44" s="5">
        <f>D43/1000</f>
        <v>783.096</v>
      </c>
      <c r="E44" s="5">
        <f t="shared" ref="E44:F44" si="6">E43/1000</f>
        <v>520.04999999999995</v>
      </c>
      <c r="F44" s="5">
        <f t="shared" si="6"/>
        <v>1303.146</v>
      </c>
      <c r="G44" s="5">
        <f t="shared" ref="G44" si="7">G43/1000</f>
        <v>700.44</v>
      </c>
      <c r="H44" s="5">
        <f t="shared" ref="H44" si="8">H43/1000</f>
        <v>462.37599999999998</v>
      </c>
      <c r="I44" s="5">
        <f t="shared" ref="I44" si="9">I43/1000</f>
        <v>1162.816</v>
      </c>
      <c r="J44" s="5">
        <f t="shared" ref="J44" si="10">J43/1000</f>
        <v>0</v>
      </c>
      <c r="K44" s="5">
        <f t="shared" ref="K44" si="11">K43/1000</f>
        <v>0</v>
      </c>
      <c r="L44" s="5">
        <f t="shared" ref="L44" si="12">L43/1000</f>
        <v>1258.8599999999999</v>
      </c>
      <c r="M44" s="5">
        <f t="shared" ref="M44" si="13">M43/1000</f>
        <v>994.90700000000004</v>
      </c>
      <c r="N44" s="5">
        <f t="shared" ref="N44" si="14">N43/1000</f>
        <v>2253.7669999999998</v>
      </c>
    </row>
  </sheetData>
  <mergeCells count="8">
    <mergeCell ref="A40:B40"/>
    <mergeCell ref="I2:K2"/>
    <mergeCell ref="L2:N2"/>
    <mergeCell ref="O2:Q2"/>
    <mergeCell ref="A2:A3"/>
    <mergeCell ref="B2:B3"/>
    <mergeCell ref="C2:E2"/>
    <mergeCell ref="F2:H2"/>
  </mergeCells>
  <printOptions horizontalCentered="1"/>
  <pageMargins left="0.18" right="0.17" top="0.35" bottom="0.41" header="0.22" footer="0.17"/>
  <pageSetup paperSize="9" scale="91" firstPageNumber="43" orientation="portrait" useFirstPageNumber="1" r:id="rId1"/>
  <headerFooter alignWithMargins="0">
    <oddFooter>&amp;LStatistics of School Education 2011-12&amp;R&amp;P</oddFooter>
  </headerFooter>
  <colBreaks count="1" manualBreakCount="1">
    <brk id="8" max="3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G77"/>
  <sheetViews>
    <sheetView view="pageBreakPreview" zoomScaleSheetLayoutView="100" workbookViewId="0">
      <selection activeCell="G32" sqref="G32"/>
    </sheetView>
  </sheetViews>
  <sheetFormatPr defaultRowHeight="15.75"/>
  <cols>
    <col min="1" max="1" width="5.140625" style="5" customWidth="1"/>
    <col min="2" max="2" width="19.5703125" style="5" customWidth="1"/>
    <col min="3" max="3" width="16.42578125" style="5" customWidth="1"/>
    <col min="4" max="7" width="14.42578125" style="5" customWidth="1"/>
    <col min="8" max="16384" width="9.140625" style="5"/>
  </cols>
  <sheetData>
    <row r="1" spans="1:7" s="4" customFormat="1" ht="24.75" customHeight="1">
      <c r="B1" s="1"/>
      <c r="C1" s="247" t="s">
        <v>135</v>
      </c>
      <c r="D1" s="247"/>
      <c r="E1" s="247"/>
      <c r="F1" s="247"/>
    </row>
    <row r="2" spans="1:7" s="12" customFormat="1" ht="68.25" customHeight="1">
      <c r="A2" s="246" t="s">
        <v>67</v>
      </c>
      <c r="B2" s="246" t="s">
        <v>65</v>
      </c>
      <c r="C2" s="246" t="s">
        <v>71</v>
      </c>
      <c r="D2" s="246" t="s">
        <v>72</v>
      </c>
      <c r="E2" s="246" t="s">
        <v>69</v>
      </c>
      <c r="F2" s="246" t="s">
        <v>59</v>
      </c>
      <c r="G2" s="246" t="s">
        <v>70</v>
      </c>
    </row>
    <row r="3" spans="1:7" s="21" customFormat="1" ht="13.5" customHeight="1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</row>
    <row r="4" spans="1:7" s="255" customFormat="1" ht="19.5" customHeight="1">
      <c r="A4" s="8">
        <v>1</v>
      </c>
      <c r="B4" s="2" t="s">
        <v>16</v>
      </c>
      <c r="C4" s="78">
        <v>87.55</v>
      </c>
      <c r="D4" s="78">
        <v>97.93</v>
      </c>
      <c r="E4" s="78">
        <v>92.55</v>
      </c>
      <c r="F4" s="78">
        <v>95</v>
      </c>
      <c r="G4" s="78"/>
    </row>
    <row r="5" spans="1:7" ht="19.5" customHeight="1">
      <c r="A5" s="8">
        <v>2</v>
      </c>
      <c r="B5" s="2" t="s">
        <v>17</v>
      </c>
      <c r="C5" s="77">
        <v>57</v>
      </c>
      <c r="D5" s="78">
        <v>32</v>
      </c>
      <c r="E5" s="77">
        <v>14</v>
      </c>
      <c r="F5" s="78">
        <v>6</v>
      </c>
      <c r="G5" s="77"/>
    </row>
    <row r="6" spans="1:7" ht="19.5" customHeight="1">
      <c r="A6" s="8">
        <v>3</v>
      </c>
      <c r="B6" s="2" t="s">
        <v>48</v>
      </c>
      <c r="C6" s="78">
        <v>14.07</v>
      </c>
      <c r="D6" s="78">
        <v>23.85</v>
      </c>
      <c r="E6" s="78">
        <v>41</v>
      </c>
      <c r="F6" s="78">
        <v>83</v>
      </c>
      <c r="G6" s="78"/>
    </row>
    <row r="7" spans="1:7" ht="19.5" customHeight="1">
      <c r="A7" s="8">
        <v>4</v>
      </c>
      <c r="B7" s="3" t="s">
        <v>49</v>
      </c>
      <c r="C7" s="77">
        <v>95</v>
      </c>
      <c r="D7" s="78">
        <v>98</v>
      </c>
      <c r="E7" s="77">
        <v>90</v>
      </c>
      <c r="F7" s="78">
        <v>85</v>
      </c>
      <c r="G7" s="77">
        <v>100</v>
      </c>
    </row>
    <row r="8" spans="1:7" ht="19.5" customHeight="1">
      <c r="A8" s="8">
        <v>5</v>
      </c>
      <c r="B8" s="3" t="s">
        <v>19</v>
      </c>
      <c r="C8" s="78">
        <v>77</v>
      </c>
      <c r="D8" s="78">
        <v>69</v>
      </c>
      <c r="E8" s="78">
        <v>71</v>
      </c>
      <c r="F8" s="78">
        <v>69</v>
      </c>
      <c r="G8" s="78">
        <v>40</v>
      </c>
    </row>
    <row r="9" spans="1:7" ht="19.5" customHeight="1">
      <c r="A9" s="8">
        <v>6</v>
      </c>
      <c r="B9" s="2" t="s">
        <v>20</v>
      </c>
      <c r="C9" s="77">
        <v>84</v>
      </c>
      <c r="D9" s="78">
        <v>100</v>
      </c>
      <c r="E9" s="77">
        <v>86</v>
      </c>
      <c r="F9" s="78">
        <v>71.34</v>
      </c>
      <c r="G9" s="77"/>
    </row>
    <row r="10" spans="1:7" ht="19.5" customHeight="1">
      <c r="A10" s="8">
        <v>7</v>
      </c>
      <c r="B10" s="2" t="s">
        <v>21</v>
      </c>
      <c r="C10" s="78">
        <v>100</v>
      </c>
      <c r="D10" s="78">
        <v>100</v>
      </c>
      <c r="E10" s="78">
        <v>100</v>
      </c>
      <c r="F10" s="78"/>
      <c r="G10" s="78"/>
    </row>
    <row r="11" spans="1:7" ht="19.5" customHeight="1">
      <c r="A11" s="8">
        <v>8</v>
      </c>
      <c r="B11" s="2" t="s">
        <v>22</v>
      </c>
      <c r="C11" s="77">
        <v>100</v>
      </c>
      <c r="D11" s="78">
        <v>100</v>
      </c>
      <c r="E11" s="77">
        <v>100</v>
      </c>
      <c r="F11" s="78">
        <v>100</v>
      </c>
      <c r="G11" s="77">
        <v>100</v>
      </c>
    </row>
    <row r="12" spans="1:7" ht="19.5" customHeight="1">
      <c r="A12" s="8">
        <v>9</v>
      </c>
      <c r="B12" s="2" t="s">
        <v>50</v>
      </c>
      <c r="C12" s="78">
        <v>100</v>
      </c>
      <c r="D12" s="78">
        <v>100</v>
      </c>
      <c r="E12" s="78">
        <v>100</v>
      </c>
      <c r="F12" s="78">
        <v>100</v>
      </c>
      <c r="G12" s="78">
        <v>100</v>
      </c>
    </row>
    <row r="13" spans="1:7" s="24" customFormat="1" ht="19.5" customHeight="1">
      <c r="A13" s="25">
        <v>10</v>
      </c>
      <c r="B13" s="2" t="s">
        <v>51</v>
      </c>
      <c r="C13" s="77">
        <v>59</v>
      </c>
      <c r="D13" s="78">
        <v>54</v>
      </c>
      <c r="E13" s="77">
        <v>48</v>
      </c>
      <c r="F13" s="78">
        <v>40</v>
      </c>
      <c r="G13" s="77">
        <v>0</v>
      </c>
    </row>
    <row r="14" spans="1:7" s="24" customFormat="1" ht="19.5" customHeight="1">
      <c r="A14" s="25">
        <v>11</v>
      </c>
      <c r="B14" s="2" t="s">
        <v>52</v>
      </c>
      <c r="C14" s="78"/>
      <c r="D14" s="78"/>
      <c r="E14" s="78"/>
      <c r="F14" s="78"/>
      <c r="G14" s="78"/>
    </row>
    <row r="15" spans="1:7" ht="19.5" customHeight="1">
      <c r="A15" s="8">
        <v>12</v>
      </c>
      <c r="B15" s="2" t="s">
        <v>25</v>
      </c>
      <c r="C15" s="77">
        <v>100</v>
      </c>
      <c r="D15" s="78">
        <v>100</v>
      </c>
      <c r="E15" s="77">
        <v>100</v>
      </c>
      <c r="F15" s="78">
        <v>100</v>
      </c>
      <c r="G15" s="77"/>
    </row>
    <row r="16" spans="1:7" ht="19.5" customHeight="1">
      <c r="A16" s="8">
        <v>13</v>
      </c>
      <c r="B16" s="2" t="s">
        <v>53</v>
      </c>
      <c r="C16" s="78">
        <v>100</v>
      </c>
      <c r="D16" s="78">
        <v>100</v>
      </c>
      <c r="E16" s="78">
        <v>100</v>
      </c>
      <c r="F16" s="78">
        <v>100</v>
      </c>
      <c r="G16" s="78"/>
    </row>
    <row r="17" spans="1:7" ht="19.5" customHeight="1">
      <c r="A17" s="8">
        <v>14</v>
      </c>
      <c r="B17" s="2" t="s">
        <v>27</v>
      </c>
      <c r="C17" s="77">
        <v>79</v>
      </c>
      <c r="D17" s="78">
        <v>78</v>
      </c>
      <c r="E17" s="77">
        <v>80</v>
      </c>
      <c r="F17" s="78">
        <v>84</v>
      </c>
      <c r="G17" s="77"/>
    </row>
    <row r="18" spans="1:7" ht="19.5" customHeight="1">
      <c r="A18" s="8">
        <v>15</v>
      </c>
      <c r="B18" s="2" t="s">
        <v>28</v>
      </c>
      <c r="C18" s="78">
        <v>98</v>
      </c>
      <c r="D18" s="78">
        <v>96</v>
      </c>
      <c r="E18" s="78">
        <v>96</v>
      </c>
      <c r="F18" s="78">
        <v>96</v>
      </c>
      <c r="G18" s="78">
        <v>99</v>
      </c>
    </row>
    <row r="19" spans="1:7" ht="19.5" customHeight="1">
      <c r="A19" s="8">
        <v>16</v>
      </c>
      <c r="B19" s="2" t="s">
        <v>29</v>
      </c>
      <c r="C19" s="77">
        <v>47</v>
      </c>
      <c r="D19" s="78">
        <v>44</v>
      </c>
      <c r="E19" s="77">
        <v>36</v>
      </c>
      <c r="F19" s="78">
        <v>35</v>
      </c>
      <c r="G19" s="77"/>
    </row>
    <row r="20" spans="1:7" ht="19.5" customHeight="1">
      <c r="A20" s="8">
        <v>17</v>
      </c>
      <c r="B20" s="2" t="s">
        <v>30</v>
      </c>
      <c r="C20" s="78">
        <v>36</v>
      </c>
      <c r="D20" s="78">
        <v>36</v>
      </c>
      <c r="E20" s="78">
        <v>36</v>
      </c>
      <c r="F20" s="78">
        <v>45</v>
      </c>
      <c r="G20" s="78"/>
    </row>
    <row r="21" spans="1:7" ht="19.5" customHeight="1">
      <c r="A21" s="8">
        <v>18</v>
      </c>
      <c r="B21" s="2" t="s">
        <v>31</v>
      </c>
      <c r="C21" s="78">
        <v>37.97</v>
      </c>
      <c r="D21" s="78">
        <v>42.05</v>
      </c>
      <c r="E21" s="78">
        <v>42.93</v>
      </c>
      <c r="F21" s="78">
        <v>42.4</v>
      </c>
      <c r="G21" s="77"/>
    </row>
    <row r="22" spans="1:7" s="24" customFormat="1" ht="19.5" customHeight="1">
      <c r="A22" s="25">
        <v>19</v>
      </c>
      <c r="B22" s="2" t="s">
        <v>54</v>
      </c>
      <c r="C22" s="78">
        <v>32</v>
      </c>
      <c r="D22" s="78">
        <v>25</v>
      </c>
      <c r="E22" s="78">
        <v>19</v>
      </c>
      <c r="F22" s="78">
        <v>24</v>
      </c>
      <c r="G22" s="78"/>
    </row>
    <row r="23" spans="1:7" ht="19.5" customHeight="1">
      <c r="A23" s="8">
        <v>20</v>
      </c>
      <c r="B23" s="2" t="s">
        <v>55</v>
      </c>
      <c r="C23" s="77">
        <v>100</v>
      </c>
      <c r="D23" s="78">
        <v>89.6</v>
      </c>
      <c r="E23" s="77">
        <v>91</v>
      </c>
      <c r="F23" s="78">
        <v>88</v>
      </c>
      <c r="G23" s="77"/>
    </row>
    <row r="24" spans="1:7" ht="19.5" customHeight="1">
      <c r="A24" s="8">
        <v>21</v>
      </c>
      <c r="B24" s="2" t="s">
        <v>56</v>
      </c>
      <c r="C24" s="78">
        <v>100</v>
      </c>
      <c r="D24" s="78">
        <v>100</v>
      </c>
      <c r="E24" s="78">
        <v>100</v>
      </c>
      <c r="F24" s="78">
        <v>100</v>
      </c>
      <c r="G24" s="78"/>
    </row>
    <row r="25" spans="1:7" ht="19.5" customHeight="1">
      <c r="A25" s="8">
        <v>22</v>
      </c>
      <c r="B25" s="2" t="s">
        <v>32</v>
      </c>
      <c r="C25" s="77">
        <v>90</v>
      </c>
      <c r="D25" s="78">
        <v>84</v>
      </c>
      <c r="E25" s="77">
        <v>81</v>
      </c>
      <c r="F25" s="78">
        <v>86</v>
      </c>
      <c r="G25" s="77">
        <v>100</v>
      </c>
    </row>
    <row r="26" spans="1:7" ht="19.5" customHeight="1">
      <c r="A26" s="8">
        <v>23</v>
      </c>
      <c r="B26" s="2" t="s">
        <v>33</v>
      </c>
      <c r="C26" s="78">
        <v>32</v>
      </c>
      <c r="D26" s="78">
        <v>28</v>
      </c>
      <c r="E26" s="78">
        <v>23</v>
      </c>
      <c r="F26" s="78">
        <v>18</v>
      </c>
      <c r="G26" s="78"/>
    </row>
    <row r="27" spans="1:7" ht="19.5" customHeight="1">
      <c r="A27" s="8">
        <v>24</v>
      </c>
      <c r="B27" s="2" t="s">
        <v>34</v>
      </c>
      <c r="C27" s="77">
        <v>100</v>
      </c>
      <c r="D27" s="78">
        <v>100</v>
      </c>
      <c r="E27" s="77">
        <v>70</v>
      </c>
      <c r="F27" s="78">
        <v>69</v>
      </c>
      <c r="G27" s="77">
        <v>35</v>
      </c>
    </row>
    <row r="28" spans="1:7" ht="19.5" customHeight="1">
      <c r="A28" s="8">
        <v>25</v>
      </c>
      <c r="B28" s="2" t="s">
        <v>35</v>
      </c>
      <c r="C28" s="78">
        <v>75</v>
      </c>
      <c r="D28" s="78">
        <v>64</v>
      </c>
      <c r="E28" s="78">
        <v>74</v>
      </c>
      <c r="F28" s="78">
        <v>82</v>
      </c>
      <c r="G28" s="78"/>
    </row>
    <row r="29" spans="1:7" ht="19.5" customHeight="1">
      <c r="A29" s="8">
        <v>26</v>
      </c>
      <c r="B29" s="2" t="s">
        <v>36</v>
      </c>
      <c r="C29" s="77">
        <v>97</v>
      </c>
      <c r="D29" s="78">
        <v>97</v>
      </c>
      <c r="E29" s="77">
        <v>95</v>
      </c>
      <c r="F29" s="78">
        <v>98</v>
      </c>
      <c r="G29" s="77"/>
    </row>
    <row r="30" spans="1:7" ht="19.5" customHeight="1">
      <c r="A30" s="8">
        <v>27</v>
      </c>
      <c r="B30" s="2" t="s">
        <v>37</v>
      </c>
      <c r="C30" s="78">
        <v>53</v>
      </c>
      <c r="D30" s="78">
        <v>100</v>
      </c>
      <c r="E30" s="78">
        <v>100</v>
      </c>
      <c r="F30" s="78">
        <v>100</v>
      </c>
      <c r="G30" s="78"/>
    </row>
    <row r="31" spans="1:7" ht="19.5" customHeight="1">
      <c r="A31" s="8">
        <v>28</v>
      </c>
      <c r="B31" s="2" t="s">
        <v>57</v>
      </c>
      <c r="C31" s="78">
        <v>73.27</v>
      </c>
      <c r="D31" s="78">
        <v>70.53</v>
      </c>
      <c r="E31" s="78">
        <v>33.51</v>
      </c>
      <c r="F31" s="78">
        <v>41.34</v>
      </c>
      <c r="G31" s="77"/>
    </row>
    <row r="32" spans="1:7" ht="19.5" customHeight="1">
      <c r="A32" s="8">
        <v>29</v>
      </c>
      <c r="B32" s="2" t="s">
        <v>39</v>
      </c>
      <c r="C32" s="78">
        <v>100</v>
      </c>
      <c r="D32" s="78">
        <v>99.47</v>
      </c>
      <c r="E32" s="78">
        <v>99.35</v>
      </c>
      <c r="F32" s="78">
        <v>98.16</v>
      </c>
      <c r="G32" s="78">
        <v>76.8</v>
      </c>
    </row>
    <row r="33" spans="1:7" ht="19.5" customHeight="1">
      <c r="A33" s="8">
        <v>30</v>
      </c>
      <c r="B33" s="2" t="s">
        <v>40</v>
      </c>
      <c r="C33" s="77">
        <v>98</v>
      </c>
      <c r="D33" s="78">
        <v>99</v>
      </c>
      <c r="E33" s="77">
        <v>96</v>
      </c>
      <c r="F33" s="78">
        <v>96</v>
      </c>
      <c r="G33" s="77"/>
    </row>
    <row r="34" spans="1:7" ht="19.5" customHeight="1">
      <c r="A34" s="8">
        <v>31</v>
      </c>
      <c r="B34" s="2" t="s">
        <v>41</v>
      </c>
      <c r="C34" s="78">
        <v>95</v>
      </c>
      <c r="D34" s="78">
        <v>96</v>
      </c>
      <c r="E34" s="78">
        <v>97</v>
      </c>
      <c r="F34" s="78">
        <v>95</v>
      </c>
      <c r="G34" s="78"/>
    </row>
    <row r="35" spans="1:7" ht="19.5" customHeight="1">
      <c r="A35" s="8">
        <v>32</v>
      </c>
      <c r="B35" s="2" t="s">
        <v>42</v>
      </c>
      <c r="C35" s="77">
        <v>100</v>
      </c>
      <c r="D35" s="78">
        <v>91</v>
      </c>
      <c r="E35" s="78">
        <v>99.59</v>
      </c>
      <c r="F35" s="78">
        <v>98.24</v>
      </c>
      <c r="G35" s="77">
        <v>100</v>
      </c>
    </row>
    <row r="36" spans="1:7" ht="19.5" customHeight="1">
      <c r="A36" s="8">
        <v>33</v>
      </c>
      <c r="B36" s="2" t="s">
        <v>43</v>
      </c>
      <c r="C36" s="78">
        <v>100</v>
      </c>
      <c r="D36" s="78">
        <v>100</v>
      </c>
      <c r="E36" s="78">
        <v>100</v>
      </c>
      <c r="F36" s="78">
        <v>100</v>
      </c>
      <c r="G36" s="78">
        <v>100</v>
      </c>
    </row>
    <row r="37" spans="1:7" ht="19.5" customHeight="1">
      <c r="A37" s="8">
        <v>34</v>
      </c>
      <c r="B37" s="2" t="s">
        <v>58</v>
      </c>
      <c r="C37" s="77">
        <v>100</v>
      </c>
      <c r="D37" s="78">
        <v>100</v>
      </c>
      <c r="E37" s="77">
        <v>100</v>
      </c>
      <c r="F37" s="78">
        <v>100</v>
      </c>
      <c r="G37" s="77">
        <v>100</v>
      </c>
    </row>
    <row r="38" spans="1:7" ht="19.5" customHeight="1">
      <c r="A38" s="8">
        <v>35</v>
      </c>
      <c r="B38" s="2" t="s">
        <v>45</v>
      </c>
      <c r="C38" s="78">
        <v>98</v>
      </c>
      <c r="D38" s="78">
        <v>97</v>
      </c>
      <c r="E38" s="78">
        <v>98</v>
      </c>
      <c r="F38" s="78">
        <v>99</v>
      </c>
      <c r="G38" s="78">
        <v>83</v>
      </c>
    </row>
    <row r="39" spans="1:7" s="11" customFormat="1" ht="19.5" customHeight="1">
      <c r="A39" s="285" t="s">
        <v>46</v>
      </c>
      <c r="B39" s="285"/>
      <c r="C39" s="80">
        <v>90.582794537219939</v>
      </c>
      <c r="D39" s="80">
        <v>90.692428148563494</v>
      </c>
      <c r="E39" s="80">
        <v>86.899099972854287</v>
      </c>
      <c r="F39" s="80">
        <v>81.411486245028868</v>
      </c>
      <c r="G39" s="80">
        <v>85.328867536032945</v>
      </c>
    </row>
    <row r="41" spans="1:7">
      <c r="C41" s="38">
        <f>Teacher!E5*TrainedTeacher!C4/100</f>
        <v>53748.695999999996</v>
      </c>
      <c r="D41" s="38">
        <f>Teacher!H5*TrainedTeacher!D4/100</f>
        <v>190693.2132</v>
      </c>
      <c r="E41" s="38">
        <f>Teacher!K5*TrainedTeacher!E4/100</f>
        <v>89787.382500000007</v>
      </c>
      <c r="F41" s="38">
        <f>Teacher!N5*TrainedTeacher!F4/100</f>
        <v>180235.9</v>
      </c>
      <c r="G41" s="5">
        <f>Teacher!Q5*TrainedTeacher!G4/100</f>
        <v>0</v>
      </c>
    </row>
    <row r="42" spans="1:7">
      <c r="C42" s="38">
        <f>Teacher!E6*TrainedTeacher!C5/100</f>
        <v>1683.78</v>
      </c>
      <c r="D42" s="38">
        <f>Teacher!H6*TrainedTeacher!D5/100</f>
        <v>910.4</v>
      </c>
      <c r="E42" s="38">
        <f>Teacher!K6*TrainedTeacher!E5/100</f>
        <v>901.88</v>
      </c>
      <c r="F42" s="38">
        <f>Teacher!N6*TrainedTeacher!F5/100</f>
        <v>309.42</v>
      </c>
      <c r="G42" s="5">
        <f>Teacher!Q6*TrainedTeacher!G5/100</f>
        <v>0</v>
      </c>
    </row>
    <row r="43" spans="1:7">
      <c r="C43" s="38">
        <f>Teacher!E7*TrainedTeacher!C6/100</f>
        <v>6251.7231000000002</v>
      </c>
      <c r="D43" s="38">
        <f>Teacher!H7*TrainedTeacher!D6/100</f>
        <v>3540.5324999999998</v>
      </c>
      <c r="E43" s="38">
        <f>Teacher!K7*TrainedTeacher!E6/100</f>
        <v>33471.17</v>
      </c>
      <c r="F43" s="38">
        <f>Teacher!N7*TrainedTeacher!F6/100</f>
        <v>71941.08</v>
      </c>
      <c r="G43" s="5">
        <f>Teacher!Q7*TrainedTeacher!G6/100</f>
        <v>0</v>
      </c>
    </row>
    <row r="44" spans="1:7">
      <c r="C44" s="38">
        <f>Teacher!E8*TrainedTeacher!C7/100</f>
        <v>37303.65</v>
      </c>
      <c r="D44" s="38">
        <f>Teacher!H8*TrainedTeacher!D7/100</f>
        <v>24470.6</v>
      </c>
      <c r="E44" s="38">
        <f>Teacher!K8*TrainedTeacher!E7/100</f>
        <v>152589.6</v>
      </c>
      <c r="F44" s="38">
        <f>Teacher!N8*TrainedTeacher!F7/100</f>
        <v>130537.9</v>
      </c>
      <c r="G44" s="5">
        <f>Teacher!Q8*TrainedTeacher!G7/100</f>
        <v>3</v>
      </c>
    </row>
    <row r="45" spans="1:7">
      <c r="C45" s="38">
        <f>Teacher!E9*TrainedTeacher!C8/100</f>
        <v>24547.599999999999</v>
      </c>
      <c r="D45" s="38">
        <f>Teacher!H9*TrainedTeacher!D8/100</f>
        <v>9233.58</v>
      </c>
      <c r="E45" s="38">
        <f>Teacher!K9*TrainedTeacher!E8/100</f>
        <v>43410.11</v>
      </c>
      <c r="F45" s="38">
        <f>Teacher!N9*TrainedTeacher!F8/100</f>
        <v>76402.320000000007</v>
      </c>
      <c r="G45" s="5">
        <f>Teacher!Q9*TrainedTeacher!G8/100</f>
        <v>832</v>
      </c>
    </row>
    <row r="46" spans="1:7">
      <c r="C46" s="38">
        <f>Teacher!E10*TrainedTeacher!C9/100</f>
        <v>1217.1600000000001</v>
      </c>
      <c r="D46" s="38">
        <f>Teacher!H10*TrainedTeacher!D9/100</f>
        <v>3104</v>
      </c>
      <c r="E46" s="38">
        <f>Teacher!K10*TrainedTeacher!E9/100</f>
        <v>2172.36</v>
      </c>
      <c r="F46" s="38">
        <f>Teacher!N10*TrainedTeacher!F9/100</f>
        <v>2882.8494000000001</v>
      </c>
      <c r="G46" s="5">
        <f>Teacher!Q10*TrainedTeacher!G9/100</f>
        <v>0</v>
      </c>
    </row>
    <row r="47" spans="1:7">
      <c r="C47" s="38">
        <f>Teacher!E11*TrainedTeacher!C10/100</f>
        <v>40627</v>
      </c>
      <c r="D47" s="38">
        <f>Teacher!H11*TrainedTeacher!D10/100</f>
        <v>37089</v>
      </c>
      <c r="E47" s="38">
        <f>Teacher!K11*TrainedTeacher!E10/100</f>
        <v>244331</v>
      </c>
      <c r="F47" s="38">
        <f>Teacher!N11*TrainedTeacher!F10/100</f>
        <v>0</v>
      </c>
      <c r="G47" s="5">
        <f>Teacher!Q11*TrainedTeacher!G10/100</f>
        <v>0</v>
      </c>
    </row>
    <row r="48" spans="1:7">
      <c r="C48" s="38">
        <f>Teacher!E12*TrainedTeacher!C11/100</f>
        <v>59973</v>
      </c>
      <c r="D48" s="38">
        <f>Teacher!H12*TrainedTeacher!D11/100</f>
        <v>39825</v>
      </c>
      <c r="E48" s="38">
        <f>Teacher!K12*TrainedTeacher!E11/100</f>
        <v>22835</v>
      </c>
      <c r="F48" s="38">
        <f>Teacher!N12*TrainedTeacher!F11/100</f>
        <v>27944</v>
      </c>
      <c r="G48" s="5">
        <f>Teacher!Q12*TrainedTeacher!G11/100</f>
        <v>56</v>
      </c>
    </row>
    <row r="49" spans="3:7">
      <c r="C49" s="38">
        <f>Teacher!E13*TrainedTeacher!C12/100</f>
        <v>32290</v>
      </c>
      <c r="D49" s="38">
        <f>Teacher!H13*TrainedTeacher!D12/100</f>
        <v>14106</v>
      </c>
      <c r="E49" s="38">
        <f>Teacher!K13*TrainedTeacher!E12/100</f>
        <v>14900</v>
      </c>
      <c r="F49" s="38">
        <f>Teacher!N13*TrainedTeacher!F12/100</f>
        <v>28771</v>
      </c>
      <c r="G49" s="5">
        <f>Teacher!Q13*TrainedTeacher!G12/100</f>
        <v>21</v>
      </c>
    </row>
    <row r="50" spans="3:7">
      <c r="C50" s="38">
        <f>Teacher!E14*TrainedTeacher!C13/100</f>
        <v>10908.51</v>
      </c>
      <c r="D50" s="38">
        <f>Teacher!H14*TrainedTeacher!D13/100</f>
        <v>13699.8</v>
      </c>
      <c r="E50" s="38">
        <f>Teacher!K14*TrainedTeacher!E13/100</f>
        <v>21672.48</v>
      </c>
      <c r="F50" s="38">
        <f>Teacher!N14*TrainedTeacher!F13/100</f>
        <v>23659.200000000001</v>
      </c>
      <c r="G50" s="5">
        <f>Teacher!Q14*TrainedTeacher!G13/100</f>
        <v>0</v>
      </c>
    </row>
    <row r="51" spans="3:7">
      <c r="C51" s="38">
        <f>Teacher!E15*TrainedTeacher!C14/100</f>
        <v>0</v>
      </c>
      <c r="D51" s="38">
        <f>Teacher!H15*TrainedTeacher!D14/100</f>
        <v>0</v>
      </c>
      <c r="E51" s="38">
        <f>Teacher!K15*TrainedTeacher!E14/100</f>
        <v>0</v>
      </c>
      <c r="F51" s="38">
        <f>Teacher!N15*TrainedTeacher!F14/100</f>
        <v>0</v>
      </c>
      <c r="G51" s="5">
        <f>Teacher!Q15*TrainedTeacher!G14/100</f>
        <v>0</v>
      </c>
    </row>
    <row r="52" spans="3:7">
      <c r="C52" s="38">
        <f>Teacher!E16*TrainedTeacher!C15/100</f>
        <v>26622</v>
      </c>
      <c r="D52" s="38">
        <f>Teacher!H16*TrainedTeacher!D15/100</f>
        <v>129232</v>
      </c>
      <c r="E52" s="38">
        <f>Teacher!K16*TrainedTeacher!E15/100</f>
        <v>239841</v>
      </c>
      <c r="F52" s="38">
        <f>Teacher!N16*TrainedTeacher!F15/100</f>
        <v>60934</v>
      </c>
      <c r="G52" s="5">
        <f>Teacher!Q16*TrainedTeacher!G15/100</f>
        <v>0</v>
      </c>
    </row>
    <row r="53" spans="3:7">
      <c r="C53" s="38">
        <f>Teacher!E17*TrainedTeacher!C16/100</f>
        <v>115602</v>
      </c>
      <c r="D53" s="38">
        <f>Teacher!H17*TrainedTeacher!D16/100</f>
        <v>39247</v>
      </c>
      <c r="E53" s="38">
        <f>Teacher!K17*TrainedTeacher!E16/100</f>
        <v>42510</v>
      </c>
      <c r="F53" s="38">
        <f>Teacher!N17*TrainedTeacher!F16/100</f>
        <v>39044</v>
      </c>
      <c r="G53" s="5">
        <f>Teacher!Q17*TrainedTeacher!G16/100</f>
        <v>0</v>
      </c>
    </row>
    <row r="54" spans="3:7">
      <c r="C54" s="38">
        <f>Teacher!E18*TrainedTeacher!C17/100</f>
        <v>53809.27</v>
      </c>
      <c r="D54" s="38">
        <f>Teacher!H18*TrainedTeacher!D17/100</f>
        <v>43773.599999999999</v>
      </c>
      <c r="E54" s="38">
        <f>Teacher!K18*TrainedTeacher!E17/100</f>
        <v>65761.600000000006</v>
      </c>
      <c r="F54" s="38">
        <f>Teacher!N18*TrainedTeacher!F17/100</f>
        <v>161032.20000000001</v>
      </c>
      <c r="G54" s="5">
        <f>Teacher!Q18*TrainedTeacher!G17/100</f>
        <v>0</v>
      </c>
    </row>
    <row r="55" spans="3:7">
      <c r="C55" s="38">
        <f>Teacher!E19*TrainedTeacher!C18/100</f>
        <v>129169.88</v>
      </c>
      <c r="D55" s="38">
        <f>Teacher!H19*TrainedTeacher!D18/100</f>
        <v>160955.51999999999</v>
      </c>
      <c r="E55" s="38">
        <f>Teacher!K19*TrainedTeacher!E18/100</f>
        <v>205957.44</v>
      </c>
      <c r="F55" s="38">
        <f>Teacher!N19*TrainedTeacher!F18/100</f>
        <v>142200.95999999999</v>
      </c>
      <c r="G55" s="38">
        <f>Teacher!Q19*TrainedTeacher!G18/100</f>
        <v>55583.55</v>
      </c>
    </row>
    <row r="56" spans="3:7">
      <c r="C56" s="38">
        <f>Teacher!E20*TrainedTeacher!C19/100</f>
        <v>1791.17</v>
      </c>
      <c r="D56" s="38">
        <f>Teacher!H20*TrainedTeacher!D19/100</f>
        <v>5349.96</v>
      </c>
      <c r="E56" s="38">
        <f>Teacher!K20*TrainedTeacher!E19/100</f>
        <v>2110.6799999999998</v>
      </c>
      <c r="F56" s="38">
        <f>Teacher!N20*TrainedTeacher!F19/100</f>
        <v>3173.1</v>
      </c>
      <c r="G56" s="5">
        <f>Teacher!Q20*TrainedTeacher!G19/100</f>
        <v>0</v>
      </c>
    </row>
    <row r="57" spans="3:7">
      <c r="C57" s="38">
        <f>Teacher!E21*TrainedTeacher!C20/100</f>
        <v>1089.3599999999999</v>
      </c>
      <c r="D57" s="38">
        <f>Teacher!H21*TrainedTeacher!D20/100</f>
        <v>2292.12</v>
      </c>
      <c r="E57" s="38">
        <f>Teacher!K21*TrainedTeacher!E20/100</f>
        <v>5771.16</v>
      </c>
      <c r="F57" s="38">
        <f>Teacher!N21*TrainedTeacher!F20/100</f>
        <v>10892.7</v>
      </c>
      <c r="G57" s="5">
        <f>Teacher!Q21*TrainedTeacher!G20/100</f>
        <v>0</v>
      </c>
    </row>
    <row r="58" spans="3:7">
      <c r="C58" s="38">
        <f>Teacher!E22*TrainedTeacher!C21/100</f>
        <v>519.04989999999998</v>
      </c>
      <c r="D58" s="38">
        <f>Teacher!H22*TrainedTeacher!D21/100</f>
        <v>1771.1459999999997</v>
      </c>
      <c r="E58" s="38">
        <f>Teacher!K22*TrainedTeacher!E21/100</f>
        <v>4137.5934000000007</v>
      </c>
      <c r="F58" s="38">
        <f>Teacher!N22*TrainedTeacher!F21/100</f>
        <v>3598.9120000000003</v>
      </c>
      <c r="G58" s="5">
        <f>Teacher!Q22*TrainedTeacher!G21/100</f>
        <v>0</v>
      </c>
    </row>
    <row r="59" spans="3:7">
      <c r="C59" s="38">
        <f>Teacher!E23*TrainedTeacher!C22/100</f>
        <v>766.08</v>
      </c>
      <c r="D59" s="38">
        <f>Teacher!H23*TrainedTeacher!D22/100</f>
        <v>1657</v>
      </c>
      <c r="E59" s="38">
        <f>Teacher!K23*TrainedTeacher!E22/100</f>
        <v>1102.76</v>
      </c>
      <c r="F59" s="38">
        <f>Teacher!N23*TrainedTeacher!F22/100</f>
        <v>1909.44</v>
      </c>
      <c r="G59" s="5">
        <f>Teacher!Q23*TrainedTeacher!G22/100</f>
        <v>0</v>
      </c>
    </row>
    <row r="60" spans="3:7">
      <c r="C60" s="38">
        <f>Teacher!E24*TrainedTeacher!C23/100</f>
        <v>25188</v>
      </c>
      <c r="D60" s="38">
        <f>Teacher!H24*TrainedTeacher!D23/100</f>
        <v>56267.903999999995</v>
      </c>
      <c r="E60" s="38">
        <f>Teacher!K24*TrainedTeacher!E23/100</f>
        <v>49134.54</v>
      </c>
      <c r="F60" s="38">
        <f>Teacher!N24*TrainedTeacher!F23/100</f>
        <v>120302.16</v>
      </c>
      <c r="G60" s="5">
        <f>Teacher!Q24*TrainedTeacher!G23/100</f>
        <v>0</v>
      </c>
    </row>
    <row r="61" spans="3:7">
      <c r="C61" s="38">
        <f>Teacher!E25*TrainedTeacher!C24/100</f>
        <v>59451</v>
      </c>
      <c r="D61" s="38">
        <f>Teacher!H25*TrainedTeacher!D24/100</f>
        <v>37848</v>
      </c>
      <c r="E61" s="38">
        <f>Teacher!K25*TrainedTeacher!E24/100</f>
        <v>19838</v>
      </c>
      <c r="F61" s="38">
        <f>Teacher!N25*TrainedTeacher!F24/100</f>
        <v>40768</v>
      </c>
      <c r="G61" s="5">
        <f>Teacher!Q25*TrainedTeacher!G24/100</f>
        <v>0</v>
      </c>
    </row>
    <row r="62" spans="3:7">
      <c r="C62" s="38">
        <f>Teacher!E26*TrainedTeacher!C25/100</f>
        <v>101967.3</v>
      </c>
      <c r="D62" s="38">
        <f>Teacher!H26*TrainedTeacher!D25/100</f>
        <v>90109.32</v>
      </c>
      <c r="E62" s="38">
        <f>Teacher!K26*TrainedTeacher!E25/100</f>
        <v>191767.5</v>
      </c>
      <c r="F62" s="38">
        <f>Teacher!N26*TrainedTeacher!F25/100</f>
        <v>90882.22</v>
      </c>
      <c r="G62" s="5">
        <f>Teacher!Q26*TrainedTeacher!G25/100</f>
        <v>7</v>
      </c>
    </row>
    <row r="63" spans="3:7">
      <c r="C63" s="38">
        <f>Teacher!E27*TrainedTeacher!C26/100</f>
        <v>796.16</v>
      </c>
      <c r="D63" s="38">
        <f>Teacher!H27*TrainedTeacher!D26/100</f>
        <v>733.88</v>
      </c>
      <c r="E63" s="38">
        <f>Teacher!K27*TrainedTeacher!E26/100</f>
        <v>887.11</v>
      </c>
      <c r="F63" s="38">
        <f>Teacher!N27*TrainedTeacher!F26/100</f>
        <v>647.46</v>
      </c>
      <c r="G63" s="5">
        <f>Teacher!Q27*TrainedTeacher!G26/100</f>
        <v>0</v>
      </c>
    </row>
    <row r="64" spans="3:7">
      <c r="C64" s="38">
        <f>Teacher!E28*TrainedTeacher!C27/100</f>
        <v>95394</v>
      </c>
      <c r="D64" s="38">
        <f>Teacher!H28*TrainedTeacher!D27/100</f>
        <v>30992</v>
      </c>
      <c r="E64" s="38">
        <f>Teacher!K28*TrainedTeacher!E27/100</f>
        <v>38855.599999999999</v>
      </c>
      <c r="F64" s="38">
        <f>Teacher!N28*TrainedTeacher!F27/100</f>
        <v>65584.5</v>
      </c>
      <c r="G64" s="38">
        <f>Teacher!Q28*TrainedTeacher!G27/100</f>
        <v>4117.3999999999996</v>
      </c>
    </row>
    <row r="65" spans="3:7">
      <c r="C65" s="38">
        <f>Teacher!E29*TrainedTeacher!C28/100</f>
        <v>8385</v>
      </c>
      <c r="D65" s="38">
        <f>Teacher!H29*TrainedTeacher!D28/100</f>
        <v>6582.4</v>
      </c>
      <c r="E65" s="38">
        <f>Teacher!K29*TrainedTeacher!E28/100</f>
        <v>8639.5</v>
      </c>
      <c r="F65" s="38">
        <f>Teacher!N29*TrainedTeacher!F28/100</f>
        <v>7134</v>
      </c>
      <c r="G65" s="5">
        <f>Teacher!Q29*TrainedTeacher!G28/100</f>
        <v>0</v>
      </c>
    </row>
    <row r="66" spans="3:7">
      <c r="C66" s="38">
        <f>Teacher!E30*TrainedTeacher!C29/100</f>
        <v>183732.55</v>
      </c>
      <c r="D66" s="38">
        <f>Teacher!H30*TrainedTeacher!D29/100</f>
        <v>60031.360000000001</v>
      </c>
      <c r="E66" s="38">
        <f>Teacher!K30*TrainedTeacher!E29/100</f>
        <v>255512</v>
      </c>
      <c r="F66" s="38">
        <f>Teacher!N30*TrainedTeacher!F29/100</f>
        <v>353094</v>
      </c>
      <c r="G66" s="5">
        <f>Teacher!Q30*TrainedTeacher!G29/100</f>
        <v>0</v>
      </c>
    </row>
    <row r="67" spans="3:7">
      <c r="C67" s="38">
        <f>Teacher!E31*TrainedTeacher!C30/100</f>
        <v>6994.94</v>
      </c>
      <c r="D67" s="38">
        <f>Teacher!H31*TrainedTeacher!D30/100</f>
        <v>23603</v>
      </c>
      <c r="E67" s="38">
        <f>Teacher!K31*TrainedTeacher!E30/100</f>
        <v>20031</v>
      </c>
      <c r="F67" s="38">
        <f>Teacher!N31*TrainedTeacher!F30/100</f>
        <v>45784</v>
      </c>
      <c r="G67" s="5">
        <f>Teacher!Q31*TrainedTeacher!G30/100</f>
        <v>0</v>
      </c>
    </row>
    <row r="68" spans="3:7">
      <c r="C68" s="38">
        <f>Teacher!E32*TrainedTeacher!C31/100</f>
        <v>20047.404699999999</v>
      </c>
      <c r="D68" s="38">
        <f>Teacher!H32*TrainedTeacher!D31/100</f>
        <v>14584.1934</v>
      </c>
      <c r="E68" s="38">
        <f>Teacher!K32*TrainedTeacher!E31/100</f>
        <v>8528.6300999999985</v>
      </c>
      <c r="F68" s="38">
        <f>Teacher!N32*TrainedTeacher!F31/100</f>
        <v>110374.90620000001</v>
      </c>
      <c r="G68" s="5">
        <f>Teacher!Q32*TrainedTeacher!G31/100</f>
        <v>0</v>
      </c>
    </row>
    <row r="69" spans="3:7">
      <c r="C69" s="38">
        <f>Teacher!E33*TrainedTeacher!C32/100</f>
        <v>2337</v>
      </c>
      <c r="D69" s="38">
        <f>Teacher!H33*TrainedTeacher!D32/100</f>
        <v>940.98619999999994</v>
      </c>
      <c r="E69" s="38">
        <f>Teacher!K33*TrainedTeacher!E32/100</f>
        <v>925.94200000000001</v>
      </c>
      <c r="F69" s="38">
        <f>Teacher!N33*TrainedTeacher!F32/100</f>
        <v>1013.9928</v>
      </c>
      <c r="G69" s="5">
        <f>Teacher!Q33*TrainedTeacher!G32/100</f>
        <v>96</v>
      </c>
    </row>
    <row r="70" spans="3:7">
      <c r="C70" s="38">
        <f>Teacher!E34*TrainedTeacher!C33/100</f>
        <v>5672.24</v>
      </c>
      <c r="D70" s="38">
        <f>Teacher!H34*TrainedTeacher!D33/100</f>
        <v>0</v>
      </c>
      <c r="E70" s="38">
        <f>Teacher!K34*TrainedTeacher!E33/100</f>
        <v>638.4</v>
      </c>
      <c r="F70" s="38">
        <f>Teacher!N34*TrainedTeacher!F33/100</f>
        <v>144</v>
      </c>
      <c r="G70" s="5">
        <f>Teacher!Q34*TrainedTeacher!G33/100</f>
        <v>0</v>
      </c>
    </row>
    <row r="71" spans="3:7">
      <c r="C71" s="38">
        <f>Teacher!E35*TrainedTeacher!C34/100</f>
        <v>146.30000000000001</v>
      </c>
      <c r="D71" s="38">
        <f>Teacher!H35*TrainedTeacher!D34/100</f>
        <v>370.56</v>
      </c>
      <c r="E71" s="38">
        <f>Teacher!K35*TrainedTeacher!E34/100</f>
        <v>560.66</v>
      </c>
      <c r="F71" s="38">
        <f>Teacher!N35*TrainedTeacher!F34/100</f>
        <v>880.65</v>
      </c>
      <c r="G71" s="5">
        <f>Teacher!Q35*TrainedTeacher!G34/100</f>
        <v>0</v>
      </c>
    </row>
    <row r="72" spans="3:7">
      <c r="C72" s="38">
        <f>Teacher!E36*TrainedTeacher!C35/100</f>
        <v>92</v>
      </c>
      <c r="D72" s="38">
        <f>Teacher!H36*TrainedTeacher!D35/100</f>
        <v>244.79</v>
      </c>
      <c r="E72" s="38">
        <f>Teacher!K36*TrainedTeacher!E35/100</f>
        <v>473.05250000000001</v>
      </c>
      <c r="F72" s="38">
        <f>Teacher!N36*TrainedTeacher!F35/100</f>
        <v>335.98080000000004</v>
      </c>
      <c r="G72" s="5">
        <f>Teacher!Q36*TrainedTeacher!G35/100</f>
        <v>124</v>
      </c>
    </row>
    <row r="73" spans="3:7">
      <c r="C73" s="38">
        <f>Teacher!E37*TrainedTeacher!C36/100</f>
        <v>71506</v>
      </c>
      <c r="D73" s="38">
        <f>Teacher!H37*TrainedTeacher!D36/100</f>
        <v>10864</v>
      </c>
      <c r="E73" s="38">
        <f>Teacher!K37*TrainedTeacher!E36/100</f>
        <v>8029</v>
      </c>
      <c r="F73" s="38">
        <f>Teacher!N37*TrainedTeacher!F36/100</f>
        <v>27953</v>
      </c>
      <c r="G73" s="5">
        <f>Teacher!Q37*TrainedTeacher!G36/100</f>
        <v>187</v>
      </c>
    </row>
    <row r="74" spans="3:7">
      <c r="C74" s="38">
        <f>Teacher!E38*TrainedTeacher!C37/100</f>
        <v>514</v>
      </c>
      <c r="D74" s="38">
        <f>Teacher!H38*TrainedTeacher!D37/100</f>
        <v>17</v>
      </c>
      <c r="E74" s="38">
        <f>Teacher!K38*TrainedTeacher!E37/100</f>
        <v>155</v>
      </c>
      <c r="F74" s="38">
        <f>Teacher!N38*TrainedTeacher!F37/100</f>
        <v>236</v>
      </c>
      <c r="G74" s="5">
        <f>Teacher!Q38*TrainedTeacher!G37/100</f>
        <v>47</v>
      </c>
    </row>
    <row r="75" spans="3:7">
      <c r="C75" s="38">
        <f>Teacher!E39*TrainedTeacher!C38/100</f>
        <v>282.24</v>
      </c>
      <c r="D75" s="38">
        <f>Teacher!H39*TrainedTeacher!D38/100</f>
        <v>446.2</v>
      </c>
      <c r="E75" s="38">
        <f>Teacher!K39*TrainedTeacher!E38/100</f>
        <v>5042.1000000000004</v>
      </c>
      <c r="F75" s="38">
        <f>Teacher!N39*TrainedTeacher!F38/100</f>
        <v>4221.3599999999997</v>
      </c>
      <c r="G75" s="38">
        <f>Teacher!Q39*TrainedTeacher!G38/100</f>
        <v>1088.1300000000001</v>
      </c>
    </row>
    <row r="76" spans="3:7">
      <c r="C76" s="261">
        <f>SUM(C41:C75)</f>
        <v>1180426.0637000001</v>
      </c>
      <c r="D76" s="261">
        <f>SUM(D41:D75)</f>
        <v>1054586.0652999999</v>
      </c>
      <c r="E76" s="261">
        <f t="shared" ref="E76:G76" si="0">SUM(E41:E75)</f>
        <v>1802281.2504999998</v>
      </c>
      <c r="F76" s="261">
        <f t="shared" si="0"/>
        <v>1834825.2111999998</v>
      </c>
      <c r="G76" s="261">
        <f t="shared" si="0"/>
        <v>62162.080000000002</v>
      </c>
    </row>
    <row r="77" spans="3:7">
      <c r="C77" s="261">
        <f>C76/Teacher!E40*100</f>
        <v>90.582794537219939</v>
      </c>
      <c r="D77" s="261">
        <f>D76/Teacher!H40*100</f>
        <v>90.692428148563479</v>
      </c>
      <c r="E77" s="261">
        <f>E76/Teacher!K40*100</f>
        <v>86.899099972854287</v>
      </c>
      <c r="F77" s="261">
        <f>F76/Teacher!N40*100</f>
        <v>81.411486245028868</v>
      </c>
      <c r="G77" s="261">
        <f>G76/Teacher!Q40*100</f>
        <v>85.328867536032945</v>
      </c>
    </row>
  </sheetData>
  <mergeCells count="1">
    <mergeCell ref="A39:B39"/>
  </mergeCells>
  <printOptions horizontalCentered="1"/>
  <pageMargins left="0.18" right="0.16" top="0.35" bottom="0.41" header="0.22" footer="0.17"/>
  <pageSetup paperSize="9" firstPageNumber="45" orientation="portrait" useFirstPageNumber="1" r:id="rId1"/>
  <headerFooter alignWithMargins="0">
    <oddFooter>&amp;LStatistics of School Education 2011-12&amp;R&amp;P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G39"/>
  <sheetViews>
    <sheetView view="pageBreakPreview" zoomScaleSheetLayoutView="100" workbookViewId="0">
      <selection activeCell="J8" sqref="J8"/>
    </sheetView>
  </sheetViews>
  <sheetFormatPr defaultRowHeight="15.75"/>
  <cols>
    <col min="1" max="1" width="5.140625" style="5" customWidth="1"/>
    <col min="2" max="2" width="19.5703125" style="5" customWidth="1"/>
    <col min="3" max="7" width="16.42578125" style="5" customWidth="1"/>
    <col min="8" max="16384" width="9.140625" style="5"/>
  </cols>
  <sheetData>
    <row r="1" spans="1:7" s="4" customFormat="1" ht="27.75" customHeight="1">
      <c r="B1" s="1" t="s">
        <v>111</v>
      </c>
      <c r="C1" s="65" t="s">
        <v>110</v>
      </c>
      <c r="D1" s="65"/>
      <c r="E1" s="65"/>
      <c r="F1" s="65"/>
    </row>
    <row r="2" spans="1:7" s="12" customFormat="1" ht="68.25" customHeight="1">
      <c r="A2" s="64" t="s">
        <v>67</v>
      </c>
      <c r="B2" s="64" t="s">
        <v>65</v>
      </c>
      <c r="C2" s="64" t="s">
        <v>71</v>
      </c>
      <c r="D2" s="64" t="s">
        <v>72</v>
      </c>
      <c r="E2" s="64" t="s">
        <v>69</v>
      </c>
      <c r="F2" s="64" t="s">
        <v>59</v>
      </c>
      <c r="G2" s="148" t="s">
        <v>70</v>
      </c>
    </row>
    <row r="3" spans="1:7" s="21" customFormat="1" ht="13.5" customHeight="1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</row>
    <row r="4" spans="1:7" ht="21.75" customHeight="1">
      <c r="A4" s="6">
        <v>1</v>
      </c>
      <c r="B4" s="2" t="s">
        <v>16</v>
      </c>
      <c r="C4" s="77">
        <f>IF(Teacher!C5=0,"",ROUND(Teacher!D5/Teacher!C5*100,0))</f>
        <v>48</v>
      </c>
      <c r="D4" s="77">
        <f>IF(Teacher!F5=0,"",ROUND(Teacher!G5/Teacher!F5*100,0))</f>
        <v>65</v>
      </c>
      <c r="E4" s="77">
        <f>IF(Teacher!I5=0,"",ROUND(Teacher!J5/Teacher!I5*100,0))</f>
        <v>89</v>
      </c>
      <c r="F4" s="77">
        <f>IF(Teacher!L5=0,"",ROUND(Teacher!M5/Teacher!L5*100,0))</f>
        <v>103</v>
      </c>
      <c r="G4" s="77" t="str">
        <f>IF(Teacher!O5=0,"",ROUND(Teacher!P5/Teacher!O5*100,0))</f>
        <v/>
      </c>
    </row>
    <row r="5" spans="1:7" ht="21.75" customHeight="1">
      <c r="A5" s="6">
        <v>2</v>
      </c>
      <c r="B5" s="2" t="s">
        <v>17</v>
      </c>
      <c r="C5" s="77">
        <f>IF(Teacher!C6=0,"",ROUND(Teacher!D6/Teacher!C6*100,0))</f>
        <v>35</v>
      </c>
      <c r="D5" s="77">
        <f>IF(Teacher!F6=0,"",ROUND(Teacher!G6/Teacher!F6*100,0))</f>
        <v>48</v>
      </c>
      <c r="E5" s="77">
        <f>IF(Teacher!I6=0,"",ROUND(Teacher!J6/Teacher!I6*100,0))</f>
        <v>56</v>
      </c>
      <c r="F5" s="77">
        <f>IF(Teacher!L6=0,"",ROUND(Teacher!M6/Teacher!L6*100,0))</f>
        <v>56</v>
      </c>
      <c r="G5" s="77">
        <f>IF(Teacher!O6=0,"",ROUND(Teacher!P6/Teacher!O6*100,0))</f>
        <v>3600</v>
      </c>
    </row>
    <row r="6" spans="1:7" ht="21.75" customHeight="1">
      <c r="A6" s="6">
        <v>3</v>
      </c>
      <c r="B6" s="2" t="s">
        <v>48</v>
      </c>
      <c r="C6" s="77">
        <f>IF(Teacher!C7=0,"",ROUND(Teacher!D7/Teacher!C7*100,0))</f>
        <v>37</v>
      </c>
      <c r="D6" s="77">
        <f>IF(Teacher!F7=0,"",ROUND(Teacher!G7/Teacher!F7*100,0))</f>
        <v>46</v>
      </c>
      <c r="E6" s="77">
        <f>IF(Teacher!I7=0,"",ROUND(Teacher!J7/Teacher!I7*100,0))</f>
        <v>31</v>
      </c>
      <c r="F6" s="77">
        <f>IF(Teacher!L7=0,"",ROUND(Teacher!M7/Teacher!L7*100,0))</f>
        <v>57</v>
      </c>
      <c r="G6" s="77" t="str">
        <f>IF(Teacher!O7=0,"",ROUND(Teacher!P7/Teacher!O7*100,0))</f>
        <v/>
      </c>
    </row>
    <row r="7" spans="1:7" ht="21.75" customHeight="1">
      <c r="A7" s="6">
        <v>4</v>
      </c>
      <c r="B7" s="3" t="s">
        <v>49</v>
      </c>
      <c r="C7" s="77">
        <f>IF(Teacher!C8=0,"",ROUND(Teacher!D8/Teacher!C8*100,0))</f>
        <v>27</v>
      </c>
      <c r="D7" s="77">
        <f>IF(Teacher!F8=0,"",ROUND(Teacher!G8/Teacher!F8*100,0))</f>
        <v>22</v>
      </c>
      <c r="E7" s="77">
        <f>IF(Teacher!I8=0,"",ROUND(Teacher!J8/Teacher!I8*100,0))</f>
        <v>64</v>
      </c>
      <c r="F7" s="77">
        <f>IF(Teacher!L8=0,"",ROUND(Teacher!M8/Teacher!L8*100,0))</f>
        <v>68</v>
      </c>
      <c r="G7" s="77">
        <f>IF(Teacher!O8=0,"",ROUND(Teacher!P8/Teacher!O8*100,0))</f>
        <v>50</v>
      </c>
    </row>
    <row r="8" spans="1:7" ht="21.75" customHeight="1">
      <c r="A8" s="6">
        <v>5</v>
      </c>
      <c r="B8" s="3" t="s">
        <v>19</v>
      </c>
      <c r="C8" s="77">
        <f>IF(Teacher!C9=0,"",ROUND(Teacher!D9/Teacher!C9*100,0))</f>
        <v>55</v>
      </c>
      <c r="D8" s="77">
        <f>IF(Teacher!F9=0,"",ROUND(Teacher!G9/Teacher!F9*100,0))</f>
        <v>65</v>
      </c>
      <c r="E8" s="77">
        <f>IF(Teacher!I9=0,"",ROUND(Teacher!J9/Teacher!I9*100,0))</f>
        <v>57</v>
      </c>
      <c r="F8" s="77">
        <f>IF(Teacher!L9=0,"",ROUND(Teacher!M9/Teacher!L9*100,0))</f>
        <v>59</v>
      </c>
      <c r="G8" s="77">
        <f>IF(Teacher!O9=0,"",ROUND(Teacher!P9/Teacher!O9*100,0))</f>
        <v>142</v>
      </c>
    </row>
    <row r="9" spans="1:7" ht="21.75" customHeight="1">
      <c r="A9" s="6">
        <v>6</v>
      </c>
      <c r="B9" s="2" t="s">
        <v>20</v>
      </c>
      <c r="C9" s="77">
        <f>IF(Teacher!C10=0,"",ROUND(Teacher!D10/Teacher!C10*100,0))</f>
        <v>135</v>
      </c>
      <c r="D9" s="77">
        <f>IF(Teacher!F10=0,"",ROUND(Teacher!G10/Teacher!F10*100,0))</f>
        <v>167</v>
      </c>
      <c r="E9" s="77">
        <f>IF(Teacher!I10=0,"",ROUND(Teacher!J10/Teacher!I10*100,0))</f>
        <v>271</v>
      </c>
      <c r="F9" s="77">
        <f>IF(Teacher!L10=0,"",ROUND(Teacher!M10/Teacher!L10*100,0))</f>
        <v>1013</v>
      </c>
      <c r="G9" s="77" t="str">
        <f>IF(Teacher!O10=0,"",ROUND(Teacher!P10/Teacher!O10*100,0))</f>
        <v/>
      </c>
    </row>
    <row r="10" spans="1:7" ht="21.75" customHeight="1">
      <c r="A10" s="6">
        <v>7</v>
      </c>
      <c r="B10" s="2" t="s">
        <v>21</v>
      </c>
      <c r="C10" s="77">
        <f>IF(Teacher!C11=0,"",ROUND(Teacher!D11/Teacher!C11*100,0))</f>
        <v>44</v>
      </c>
      <c r="D10" s="77">
        <f>IF(Teacher!F11=0,"",ROUND(Teacher!G11/Teacher!F11*100,0))</f>
        <v>47</v>
      </c>
      <c r="E10" s="77">
        <f>IF(Teacher!I11=0,"",ROUND(Teacher!J11/Teacher!I11*100,0))</f>
        <v>104</v>
      </c>
      <c r="F10" s="77" t="str">
        <f>IF(Teacher!L11=0,"",ROUND(Teacher!M11/Teacher!L11*100,0))</f>
        <v/>
      </c>
      <c r="G10" s="77" t="str">
        <f>IF(Teacher!O11=0,"",ROUND(Teacher!P11/Teacher!O11*100,0))</f>
        <v/>
      </c>
    </row>
    <row r="11" spans="1:7" ht="21.75" customHeight="1">
      <c r="A11" s="6">
        <v>8</v>
      </c>
      <c r="B11" s="2" t="s">
        <v>22</v>
      </c>
      <c r="C11" s="77">
        <f>IF(Teacher!C12=0,"",ROUND(Teacher!D12/Teacher!C12*100,0))</f>
        <v>88</v>
      </c>
      <c r="D11" s="77">
        <f>IF(Teacher!F12=0,"",ROUND(Teacher!G12/Teacher!F12*100,0))</f>
        <v>77</v>
      </c>
      <c r="E11" s="77">
        <f>IF(Teacher!I12=0,"",ROUND(Teacher!J12/Teacher!I12*100,0))</f>
        <v>72</v>
      </c>
      <c r="F11" s="77">
        <f>IF(Teacher!L12=0,"",ROUND(Teacher!M12/Teacher!L12*100,0))</f>
        <v>89</v>
      </c>
      <c r="G11" s="77">
        <f>IF(Teacher!O12=0,"",ROUND(Teacher!P12/Teacher!O12*100,0))</f>
        <v>700</v>
      </c>
    </row>
    <row r="12" spans="1:7" ht="21.75" customHeight="1">
      <c r="A12" s="8">
        <v>9</v>
      </c>
      <c r="B12" s="2" t="s">
        <v>50</v>
      </c>
      <c r="C12" s="77">
        <f>IF(Teacher!C13=0,"",ROUND(Teacher!D13/Teacher!C13*100,0))</f>
        <v>79</v>
      </c>
      <c r="D12" s="77">
        <f>IF(Teacher!F13=0,"",ROUND(Teacher!G13/Teacher!F13*100,0))</f>
        <v>106</v>
      </c>
      <c r="E12" s="77">
        <f>IF(Teacher!I13=0,"",ROUND(Teacher!J13/Teacher!I13*100,0))</f>
        <v>70</v>
      </c>
      <c r="F12" s="77">
        <f>IF(Teacher!L13=0,"",ROUND(Teacher!M13/Teacher!L13*100,0))</f>
        <v>81</v>
      </c>
      <c r="G12" s="77" t="str">
        <f>IF(Teacher!O13=0,"",ROUND(Teacher!P13/Teacher!O13*100,0))</f>
        <v/>
      </c>
    </row>
    <row r="13" spans="1:7" ht="21.75" customHeight="1">
      <c r="A13" s="6">
        <v>10</v>
      </c>
      <c r="B13" s="2" t="s">
        <v>51</v>
      </c>
      <c r="C13" s="77">
        <f>IF(Teacher!C14=0,"",ROUND(Teacher!D14/Teacher!C14*100,0))</f>
        <v>72</v>
      </c>
      <c r="D13" s="77">
        <f>IF(Teacher!F14=0,"",ROUND(Teacher!G14/Teacher!F14*100,0))</f>
        <v>77</v>
      </c>
      <c r="E13" s="77">
        <f>IF(Teacher!I14=0,"",ROUND(Teacher!J14/Teacher!I14*100,0))</f>
        <v>81</v>
      </c>
      <c r="F13" s="77">
        <f>IF(Teacher!L14=0,"",ROUND(Teacher!M14/Teacher!L14*100,0))</f>
        <v>65</v>
      </c>
      <c r="G13" s="77">
        <f>IF(Teacher!O14=0,"",ROUND(Teacher!P14/Teacher!O14*100,0))</f>
        <v>470</v>
      </c>
    </row>
    <row r="14" spans="1:7" ht="21.75" customHeight="1">
      <c r="A14" s="6">
        <v>11</v>
      </c>
      <c r="B14" s="2" t="s">
        <v>52</v>
      </c>
      <c r="C14" s="77" t="str">
        <f>IF(Teacher!C15=0,"",ROUND(Teacher!D15/Teacher!C15*100,0))</f>
        <v/>
      </c>
      <c r="D14" s="77" t="str">
        <f>IF(Teacher!F15=0,"",ROUND(Teacher!G15/Teacher!F15*100,0))</f>
        <v/>
      </c>
      <c r="E14" s="77" t="str">
        <f>IF(Teacher!I15=0,"",ROUND(Teacher!J15/Teacher!I15*100,0))</f>
        <v/>
      </c>
      <c r="F14" s="77" t="str">
        <f>IF(Teacher!L15=0,"",ROUND(Teacher!M15/Teacher!L15*100,0))</f>
        <v/>
      </c>
      <c r="G14" s="77" t="str">
        <f>IF(Teacher!O15=0,"",ROUND(Teacher!P15/Teacher!O15*100,0))</f>
        <v/>
      </c>
    </row>
    <row r="15" spans="1:7" ht="21.75" customHeight="1">
      <c r="A15" s="6">
        <v>12</v>
      </c>
      <c r="B15" s="2" t="s">
        <v>25</v>
      </c>
      <c r="C15" s="77">
        <f>IF(Teacher!C16=0,"",ROUND(Teacher!D16/Teacher!C16*100,0))</f>
        <v>46</v>
      </c>
      <c r="D15" s="77">
        <f>IF(Teacher!F16=0,"",ROUND(Teacher!G16/Teacher!F16*100,0))</f>
        <v>91</v>
      </c>
      <c r="E15" s="77">
        <f>IF(Teacher!I16=0,"",ROUND(Teacher!J16/Teacher!I16*100,0))</f>
        <v>145</v>
      </c>
      <c r="F15" s="77">
        <f>IF(Teacher!L16=0,"",ROUND(Teacher!M16/Teacher!L16*100,0))</f>
        <v>105</v>
      </c>
      <c r="G15" s="77" t="str">
        <f>IF(Teacher!O16=0,"",ROUND(Teacher!P16/Teacher!O16*100,0))</f>
        <v/>
      </c>
    </row>
    <row r="16" spans="1:7" ht="21.75" customHeight="1">
      <c r="A16" s="6">
        <v>13</v>
      </c>
      <c r="B16" s="2" t="s">
        <v>53</v>
      </c>
      <c r="C16" s="77">
        <f>IF(Teacher!C17=0,"",ROUND(Teacher!D17/Teacher!C17*100,0))</f>
        <v>246</v>
      </c>
      <c r="D16" s="77">
        <f>IF(Teacher!F17=0,"",ROUND(Teacher!G17/Teacher!F17*100,0))</f>
        <v>321</v>
      </c>
      <c r="E16" s="77">
        <f>IF(Teacher!I17=0,"",ROUND(Teacher!J17/Teacher!I17*100,0))</f>
        <v>235</v>
      </c>
      <c r="F16" s="77">
        <f>IF(Teacher!L17=0,"",ROUND(Teacher!M17/Teacher!L17*100,0))</f>
        <v>313</v>
      </c>
      <c r="G16" s="77" t="str">
        <f>IF(Teacher!O17=0,"",ROUND(Teacher!P17/Teacher!O17*100,0))</f>
        <v/>
      </c>
    </row>
    <row r="17" spans="1:7" ht="21.75" customHeight="1">
      <c r="A17" s="6">
        <v>14</v>
      </c>
      <c r="B17" s="2" t="s">
        <v>27</v>
      </c>
      <c r="C17" s="77">
        <f>IF(Teacher!C18=0,"",ROUND(Teacher!D18/Teacher!C18*100,0))</f>
        <v>76</v>
      </c>
      <c r="D17" s="77">
        <f>IF(Teacher!F18=0,"",ROUND(Teacher!G18/Teacher!F18*100,0))</f>
        <v>78</v>
      </c>
      <c r="E17" s="77">
        <f>IF(Teacher!I18=0,"",ROUND(Teacher!J18/Teacher!I18*100,0))</f>
        <v>44</v>
      </c>
      <c r="F17" s="77">
        <f>IF(Teacher!L18=0,"",ROUND(Teacher!M18/Teacher!L18*100,0))</f>
        <v>45</v>
      </c>
      <c r="G17" s="77" t="str">
        <f>IF(Teacher!O18=0,"",ROUND(Teacher!P18/Teacher!O18*100,0))</f>
        <v/>
      </c>
    </row>
    <row r="18" spans="1:7" ht="21.75" customHeight="1">
      <c r="A18" s="6">
        <v>15</v>
      </c>
      <c r="B18" s="2" t="s">
        <v>28</v>
      </c>
      <c r="C18" s="77">
        <f>IF(Teacher!C19=0,"",ROUND(Teacher!D19/Teacher!C19*100,0))</f>
        <v>44</v>
      </c>
      <c r="D18" s="77">
        <f>IF(Teacher!F19=0,"",ROUND(Teacher!G19/Teacher!F19*100,0))</f>
        <v>58</v>
      </c>
      <c r="E18" s="77">
        <f>IF(Teacher!I19=0,"",ROUND(Teacher!J19/Teacher!I19*100,0))</f>
        <v>92</v>
      </c>
      <c r="F18" s="77">
        <f>IF(Teacher!L19=0,"",ROUND(Teacher!M19/Teacher!L19*100,0))</f>
        <v>81</v>
      </c>
      <c r="G18" s="77" t="str">
        <f>IF(Teacher!O19=0,"",ROUND(Teacher!P19/Teacher!O19*100,0))</f>
        <v/>
      </c>
    </row>
    <row r="19" spans="1:7" ht="21.75" customHeight="1">
      <c r="A19" s="6">
        <v>16</v>
      </c>
      <c r="B19" s="2" t="s">
        <v>29</v>
      </c>
      <c r="C19" s="77">
        <f>IF(Teacher!C20=0,"",ROUND(Teacher!D20/Teacher!C20*100,0))</f>
        <v>90</v>
      </c>
      <c r="D19" s="77">
        <f>IF(Teacher!F20=0,"",ROUND(Teacher!G20/Teacher!F20*100,0))</f>
        <v>87</v>
      </c>
      <c r="E19" s="77">
        <f>IF(Teacher!I20=0,"",ROUND(Teacher!J20/Teacher!I20*100,0))</f>
        <v>87</v>
      </c>
      <c r="F19" s="77">
        <f>IF(Teacher!L20=0,"",ROUND(Teacher!M20/Teacher!L20*100,0))</f>
        <v>69</v>
      </c>
      <c r="G19" s="77" t="str">
        <f>IF(Teacher!O20=0,"",ROUND(Teacher!P20/Teacher!O20*100,0))</f>
        <v/>
      </c>
    </row>
    <row r="20" spans="1:7" ht="21.75" customHeight="1">
      <c r="A20" s="6">
        <v>17</v>
      </c>
      <c r="B20" s="2" t="s">
        <v>30</v>
      </c>
      <c r="C20" s="77">
        <f>IF(Teacher!C21=0,"",ROUND(Teacher!D21/Teacher!C21*100,0))</f>
        <v>103</v>
      </c>
      <c r="D20" s="77">
        <f>IF(Teacher!F21=0,"",ROUND(Teacher!G21/Teacher!F21*100,0))</f>
        <v>75</v>
      </c>
      <c r="E20" s="77">
        <f>IF(Teacher!I21=0,"",ROUND(Teacher!J21/Teacher!I21*100,0))</f>
        <v>90</v>
      </c>
      <c r="F20" s="77">
        <f>IF(Teacher!L21=0,"",ROUND(Teacher!M21/Teacher!L21*100,0))</f>
        <v>135</v>
      </c>
      <c r="G20" s="77">
        <f>IF(Teacher!O21=0,"",ROUND(Teacher!P21/Teacher!O21*100,0))</f>
        <v>153</v>
      </c>
    </row>
    <row r="21" spans="1:7" ht="21.75" customHeight="1">
      <c r="A21" s="6">
        <v>18</v>
      </c>
      <c r="B21" s="2" t="s">
        <v>31</v>
      </c>
      <c r="C21" s="77">
        <f>IF(Teacher!C22=0,"",ROUND(Teacher!D22/Teacher!C22*100,0))</f>
        <v>72</v>
      </c>
      <c r="D21" s="77">
        <f>IF(Teacher!F22=0,"",ROUND(Teacher!G22/Teacher!F22*100,0))</f>
        <v>51</v>
      </c>
      <c r="E21" s="77">
        <f>IF(Teacher!I22=0,"",ROUND(Teacher!J22/Teacher!I22*100,0))</f>
        <v>60</v>
      </c>
      <c r="F21" s="77">
        <f>IF(Teacher!L22=0,"",ROUND(Teacher!M22/Teacher!L22*100,0))</f>
        <v>110</v>
      </c>
      <c r="G21" s="77" t="str">
        <f>IF(Teacher!O22=0,"",ROUND(Teacher!P22/Teacher!O22*100,0))</f>
        <v/>
      </c>
    </row>
    <row r="22" spans="1:7" ht="21.75" customHeight="1">
      <c r="A22" s="6">
        <v>19</v>
      </c>
      <c r="B22" s="2" t="s">
        <v>54</v>
      </c>
      <c r="C22" s="77">
        <f>IF(Teacher!C23=0,"",ROUND(Teacher!D23/Teacher!C23*100,0))</f>
        <v>101</v>
      </c>
      <c r="D22" s="77">
        <f>IF(Teacher!F23=0,"",ROUND(Teacher!G23/Teacher!F23*100,0))</f>
        <v>66</v>
      </c>
      <c r="E22" s="77">
        <f>IF(Teacher!I23=0,"",ROUND(Teacher!J23/Teacher!I23*100,0))</f>
        <v>57</v>
      </c>
      <c r="F22" s="77">
        <f>IF(Teacher!L23=0,"",ROUND(Teacher!M23/Teacher!L23*100,0))</f>
        <v>59</v>
      </c>
      <c r="G22" s="77" t="str">
        <f>IF(Teacher!O23=0,"",ROUND(Teacher!P23/Teacher!O23*100,0))</f>
        <v/>
      </c>
    </row>
    <row r="23" spans="1:7" ht="21.75" customHeight="1">
      <c r="A23" s="6">
        <v>20</v>
      </c>
      <c r="B23" s="2" t="s">
        <v>55</v>
      </c>
      <c r="C23" s="77">
        <f>IF(Teacher!C24=0,"",ROUND(Teacher!D24/Teacher!C24*100,0))</f>
        <v>32</v>
      </c>
      <c r="D23" s="77">
        <f>IF(Teacher!F24=0,"",ROUND(Teacher!G24/Teacher!F24*100,0))</f>
        <v>34</v>
      </c>
      <c r="E23" s="77">
        <f>IF(Teacher!I24=0,"",ROUND(Teacher!J24/Teacher!I24*100,0))</f>
        <v>51</v>
      </c>
      <c r="F23" s="77">
        <f>IF(Teacher!L24=0,"",ROUND(Teacher!M24/Teacher!L24*100,0))</f>
        <v>74</v>
      </c>
      <c r="G23" s="77" t="str">
        <f>IF(Teacher!O24=0,"",ROUND(Teacher!P24/Teacher!O24*100,0))</f>
        <v/>
      </c>
    </row>
    <row r="24" spans="1:7" ht="21.75" customHeight="1">
      <c r="A24" s="6">
        <v>21</v>
      </c>
      <c r="B24" s="2" t="s">
        <v>56</v>
      </c>
      <c r="C24" s="77">
        <f>IF(Teacher!C25=0,"",ROUND(Teacher!D25/Teacher!C25*100,0))</f>
        <v>218</v>
      </c>
      <c r="D24" s="77">
        <f>IF(Teacher!F25=0,"",ROUND(Teacher!G25/Teacher!F25*100,0))</f>
        <v>219</v>
      </c>
      <c r="E24" s="77">
        <f>IF(Teacher!I25=0,"",ROUND(Teacher!J25/Teacher!I25*100,0))</f>
        <v>173</v>
      </c>
      <c r="F24" s="77">
        <f>IF(Teacher!L25=0,"",ROUND(Teacher!M25/Teacher!L25*100,0))</f>
        <v>176</v>
      </c>
      <c r="G24" s="77" t="str">
        <f>IF(Teacher!O25=0,"",ROUND(Teacher!P25/Teacher!O25*100,0))</f>
        <v/>
      </c>
    </row>
    <row r="25" spans="1:7" ht="21.75" customHeight="1">
      <c r="A25" s="6">
        <v>22</v>
      </c>
      <c r="B25" s="2" t="s">
        <v>32</v>
      </c>
      <c r="C25" s="77">
        <f>IF(Teacher!C26=0,"",ROUND(Teacher!D26/Teacher!C26*100,0))</f>
        <v>42</v>
      </c>
      <c r="D25" s="77">
        <f>IF(Teacher!F26=0,"",ROUND(Teacher!G26/Teacher!F26*100,0))</f>
        <v>40</v>
      </c>
      <c r="E25" s="77">
        <f>IF(Teacher!I26=0,"",ROUND(Teacher!J26/Teacher!I26*100,0))</f>
        <v>47</v>
      </c>
      <c r="F25" s="77">
        <f>IF(Teacher!L26=0,"",ROUND(Teacher!M26/Teacher!L26*100,0))</f>
        <v>47</v>
      </c>
      <c r="G25" s="77">
        <f>IF(Teacher!O26=0,"",ROUND(Teacher!P26/Teacher!O26*100,0))</f>
        <v>40</v>
      </c>
    </row>
    <row r="26" spans="1:7" ht="21.75" customHeight="1">
      <c r="A26" s="6">
        <v>23</v>
      </c>
      <c r="B26" s="2" t="s">
        <v>33</v>
      </c>
      <c r="C26" s="77">
        <f>IF(Teacher!C27=0,"",ROUND(Teacher!D27/Teacher!C27*100,0))</f>
        <v>106</v>
      </c>
      <c r="D26" s="77">
        <f>IF(Teacher!F27=0,"",ROUND(Teacher!G27/Teacher!F27*100,0))</f>
        <v>102</v>
      </c>
      <c r="E26" s="77">
        <f>IF(Teacher!I27=0,"",ROUND(Teacher!J27/Teacher!I27*100,0))</f>
        <v>107</v>
      </c>
      <c r="F26" s="77">
        <f>IF(Teacher!L27=0,"",ROUND(Teacher!M27/Teacher!L27*100,0))</f>
        <v>104</v>
      </c>
      <c r="G26" s="77" t="str">
        <f>IF(Teacher!O27=0,"",ROUND(Teacher!P27/Teacher!O27*100,0))</f>
        <v/>
      </c>
    </row>
    <row r="27" spans="1:7" ht="21.75" customHeight="1">
      <c r="A27" s="6">
        <v>24</v>
      </c>
      <c r="B27" s="2" t="s">
        <v>34</v>
      </c>
      <c r="C27" s="77">
        <f>IF(Teacher!C28=0,"",ROUND(Teacher!D28/Teacher!C28*100,0))</f>
        <v>123</v>
      </c>
      <c r="D27" s="77">
        <f>IF(Teacher!F28=0,"",ROUND(Teacher!G28/Teacher!F28*100,0))</f>
        <v>130</v>
      </c>
      <c r="E27" s="77">
        <f>IF(Teacher!I28=0,"",ROUND(Teacher!J28/Teacher!I28*100,0))</f>
        <v>200</v>
      </c>
      <c r="F27" s="77">
        <f>IF(Teacher!L28=0,"",ROUND(Teacher!M28/Teacher!L28*100,0))</f>
        <v>288</v>
      </c>
      <c r="G27" s="77">
        <f>IF(Teacher!O28=0,"",ROUND(Teacher!P28/Teacher!O28*100,0))</f>
        <v>1289</v>
      </c>
    </row>
    <row r="28" spans="1:7" ht="21.75" customHeight="1">
      <c r="A28" s="6">
        <v>25</v>
      </c>
      <c r="B28" s="2" t="s">
        <v>35</v>
      </c>
      <c r="C28" s="77">
        <f>IF(Teacher!C29=0,"",ROUND(Teacher!D29/Teacher!C29*100,0))</f>
        <v>60</v>
      </c>
      <c r="D28" s="77">
        <f>IF(Teacher!F29=0,"",ROUND(Teacher!G29/Teacher!F29*100,0))</f>
        <v>37</v>
      </c>
      <c r="E28" s="77">
        <f>IF(Teacher!I29=0,"",ROUND(Teacher!J29/Teacher!I29*100,0))</f>
        <v>30</v>
      </c>
      <c r="F28" s="77">
        <f>IF(Teacher!L29=0,"",ROUND(Teacher!M29/Teacher!L29*100,0))</f>
        <v>33</v>
      </c>
      <c r="G28" s="77" t="str">
        <f>IF(Teacher!O29=0,"",ROUND(Teacher!P29/Teacher!O29*100,0))</f>
        <v/>
      </c>
    </row>
    <row r="29" spans="1:7" ht="21.75" customHeight="1">
      <c r="A29" s="6">
        <v>26</v>
      </c>
      <c r="B29" s="2" t="s">
        <v>36</v>
      </c>
      <c r="C29" s="77">
        <f>IF(Teacher!C30=0,"",ROUND(Teacher!D30/Teacher!C30*100,0))</f>
        <v>19</v>
      </c>
      <c r="D29" s="77">
        <f>IF(Teacher!F30=0,"",ROUND(Teacher!G30/Teacher!F30*100,0))</f>
        <v>26</v>
      </c>
      <c r="E29" s="77">
        <f>IF(Teacher!I30=0,"",ROUND(Teacher!J30/Teacher!I30*100,0))</f>
        <v>47</v>
      </c>
      <c r="F29" s="77">
        <f>IF(Teacher!L30=0,"",ROUND(Teacher!M30/Teacher!L30*100,0))</f>
        <v>60</v>
      </c>
      <c r="G29" s="77" t="str">
        <f>IF(Teacher!O30=0,"",ROUND(Teacher!P30/Teacher!O30*100,0))</f>
        <v/>
      </c>
    </row>
    <row r="30" spans="1:7" ht="21.75" customHeight="1">
      <c r="A30" s="6">
        <v>27</v>
      </c>
      <c r="B30" s="2" t="s">
        <v>37</v>
      </c>
      <c r="C30" s="77">
        <f>IF(Teacher!C31=0,"",ROUND(Teacher!D31/Teacher!C31*100,0))</f>
        <v>31</v>
      </c>
      <c r="D30" s="77">
        <f>IF(Teacher!F31=0,"",ROUND(Teacher!G31/Teacher!F31*100,0))</f>
        <v>45</v>
      </c>
      <c r="E30" s="77">
        <f>IF(Teacher!I31=0,"",ROUND(Teacher!J31/Teacher!I31*100,0))</f>
        <v>77</v>
      </c>
      <c r="F30" s="77">
        <f>IF(Teacher!L31=0,"",ROUND(Teacher!M31/Teacher!L31*100,0))</f>
        <v>115</v>
      </c>
      <c r="G30" s="77" t="str">
        <f>IF(Teacher!O31=0,"",ROUND(Teacher!P31/Teacher!O31*100,0))</f>
        <v/>
      </c>
    </row>
    <row r="31" spans="1:7" ht="21.75" customHeight="1">
      <c r="A31" s="6">
        <v>28</v>
      </c>
      <c r="B31" s="2" t="s">
        <v>57</v>
      </c>
      <c r="C31" s="77">
        <f>IF(Teacher!C32=0,"",ROUND(Teacher!D32/Teacher!C32*100,0))</f>
        <v>58</v>
      </c>
      <c r="D31" s="77">
        <f>IF(Teacher!F32=0,"",ROUND(Teacher!G32/Teacher!F32*100,0))</f>
        <v>57</v>
      </c>
      <c r="E31" s="77">
        <f>IF(Teacher!I32=0,"",ROUND(Teacher!J32/Teacher!I32*100,0))</f>
        <v>35</v>
      </c>
      <c r="F31" s="77">
        <f>IF(Teacher!L32=0,"",ROUND(Teacher!M32/Teacher!L32*100,0))</f>
        <v>81</v>
      </c>
      <c r="G31" s="77" t="str">
        <f>IF(Teacher!O32=0,"",ROUND(Teacher!P32/Teacher!O32*100,0))</f>
        <v/>
      </c>
    </row>
    <row r="32" spans="1:7" ht="21.75" customHeight="1">
      <c r="A32" s="6">
        <v>29</v>
      </c>
      <c r="B32" s="2" t="s">
        <v>39</v>
      </c>
      <c r="C32" s="77">
        <f>IF(Teacher!C33=0,"",ROUND(Teacher!D33/Teacher!C33*100,0))</f>
        <v>125</v>
      </c>
      <c r="D32" s="77">
        <f>IF(Teacher!F33=0,"",ROUND(Teacher!G33/Teacher!F33*100,0))</f>
        <v>159</v>
      </c>
      <c r="E32" s="77">
        <f>IF(Teacher!I33=0,"",ROUND(Teacher!J33/Teacher!I33*100,0))</f>
        <v>161</v>
      </c>
      <c r="F32" s="77">
        <f>IF(Teacher!L33=0,"",ROUND(Teacher!M33/Teacher!L33*100,0))</f>
        <v>164</v>
      </c>
      <c r="G32" s="77">
        <f>IF(Teacher!O33=0,"",ROUND(Teacher!P33/Teacher!O33*100,0))</f>
        <v>1150</v>
      </c>
    </row>
    <row r="33" spans="1:7" ht="21.75" customHeight="1">
      <c r="A33" s="6">
        <v>30</v>
      </c>
      <c r="B33" s="2" t="s">
        <v>40</v>
      </c>
      <c r="C33" s="77">
        <f>IF(Teacher!C34=0,"",ROUND(Teacher!D34/Teacher!C34*100,0))</f>
        <v>436</v>
      </c>
      <c r="D33" s="77" t="str">
        <f>IF(Teacher!F34=0,"",ROUND(Teacher!G34/Teacher!F34*100,0))</f>
        <v/>
      </c>
      <c r="E33" s="77">
        <f>IF(Teacher!I34=0,"",ROUND(Teacher!J34/Teacher!I34*100,0))</f>
        <v>365</v>
      </c>
      <c r="F33" s="77">
        <f>IF(Teacher!L34=0,"",ROUND(Teacher!M34/Teacher!L34*100,0))</f>
        <v>400</v>
      </c>
      <c r="G33" s="77" t="str">
        <f>IF(Teacher!O34=0,"",ROUND(Teacher!P34/Teacher!O34*100,0))</f>
        <v/>
      </c>
    </row>
    <row r="34" spans="1:7" ht="21.75" customHeight="1">
      <c r="A34" s="6">
        <v>31</v>
      </c>
      <c r="B34" s="2" t="s">
        <v>41</v>
      </c>
      <c r="C34" s="77">
        <f>IF(Teacher!C35=0,"",ROUND(Teacher!D35/Teacher!C35*100,0))</f>
        <v>130</v>
      </c>
      <c r="D34" s="77">
        <f>IF(Teacher!F35=0,"",ROUND(Teacher!G35/Teacher!F35*100,0))</f>
        <v>100</v>
      </c>
      <c r="E34" s="77">
        <f>IF(Teacher!I35=0,"",ROUND(Teacher!J35/Teacher!I35*100,0))</f>
        <v>132</v>
      </c>
      <c r="F34" s="77">
        <f>IF(Teacher!L35=0,"",ROUND(Teacher!M35/Teacher!L35*100,0))</f>
        <v>156</v>
      </c>
      <c r="G34" s="77" t="str">
        <f>IF(Teacher!O35=0,"",ROUND(Teacher!P35/Teacher!O35*100,0))</f>
        <v/>
      </c>
    </row>
    <row r="35" spans="1:7" ht="21.75" customHeight="1">
      <c r="A35" s="6">
        <v>32</v>
      </c>
      <c r="B35" s="2" t="s">
        <v>42</v>
      </c>
      <c r="C35" s="77">
        <f>IF(Teacher!C36=0,"",ROUND(Teacher!D36/Teacher!C36*100,0))</f>
        <v>74</v>
      </c>
      <c r="D35" s="77">
        <f>IF(Teacher!F36=0,"",ROUND(Teacher!G36/Teacher!F36*100,0))</f>
        <v>86</v>
      </c>
      <c r="E35" s="77">
        <f>IF(Teacher!I36=0,"",ROUND(Teacher!J36/Teacher!I36*100,0))</f>
        <v>265</v>
      </c>
      <c r="F35" s="77">
        <f>IF(Teacher!L36=0,"",ROUND(Teacher!M36/Teacher!L36*100,0))</f>
        <v>328</v>
      </c>
      <c r="G35" s="77" t="str">
        <f>IF(Teacher!O36=0,"",ROUND(Teacher!P36/Teacher!O36*100,0))</f>
        <v/>
      </c>
    </row>
    <row r="36" spans="1:7" ht="21.75" customHeight="1">
      <c r="A36" s="6">
        <v>33</v>
      </c>
      <c r="B36" s="2" t="s">
        <v>43</v>
      </c>
      <c r="C36" s="77">
        <f>IF(Teacher!C37=0,"",ROUND(Teacher!D37/Teacher!C37*100,0))</f>
        <v>244</v>
      </c>
      <c r="D36" s="77">
        <f>IF(Teacher!F37=0,"",ROUND(Teacher!G37/Teacher!F37*100,0))</f>
        <v>226</v>
      </c>
      <c r="E36" s="77">
        <f>IF(Teacher!I37=0,"",ROUND(Teacher!J37/Teacher!I37*100,0))</f>
        <v>525</v>
      </c>
      <c r="F36" s="77">
        <f>IF(Teacher!L37=0,"",ROUND(Teacher!M37/Teacher!L37*100,0))</f>
        <v>255</v>
      </c>
      <c r="G36" s="77">
        <f>IF(Teacher!O37=0,"",ROUND(Teacher!P37/Teacher!O37*100,0))</f>
        <v>18600</v>
      </c>
    </row>
    <row r="37" spans="1:7" ht="21.75" customHeight="1">
      <c r="A37" s="6">
        <v>34</v>
      </c>
      <c r="B37" s="2" t="s">
        <v>58</v>
      </c>
      <c r="C37" s="77">
        <f>IF(Teacher!C38=0,"",ROUND(Teacher!D38/Teacher!C38*100,0))</f>
        <v>51</v>
      </c>
      <c r="D37" s="77">
        <f>IF(Teacher!F38=0,"",ROUND(Teacher!G38/Teacher!F38*100,0))</f>
        <v>6</v>
      </c>
      <c r="E37" s="77">
        <f>IF(Teacher!I38=0,"",ROUND(Teacher!J38/Teacher!I38*100,0))</f>
        <v>87</v>
      </c>
      <c r="F37" s="77">
        <f>IF(Teacher!L38=0,"",ROUND(Teacher!M38/Teacher!L38*100,0))</f>
        <v>79</v>
      </c>
      <c r="G37" s="77" t="str">
        <f>IF(Teacher!O38=0,"",ROUND(Teacher!P38/Teacher!O38*100,0))</f>
        <v/>
      </c>
    </row>
    <row r="38" spans="1:7" ht="21.75" customHeight="1">
      <c r="A38" s="6">
        <v>35</v>
      </c>
      <c r="B38" s="2" t="s">
        <v>45</v>
      </c>
      <c r="C38" s="77">
        <f>IF(Teacher!C39=0,"",ROUND(Teacher!D39/Teacher!C39*100,0))</f>
        <v>64</v>
      </c>
      <c r="D38" s="77">
        <f>IF(Teacher!F39=0,"",ROUND(Teacher!G39/Teacher!F39*100,0))</f>
        <v>199</v>
      </c>
      <c r="E38" s="77">
        <f>IF(Teacher!I39=0,"",ROUND(Teacher!J39/Teacher!I39*100,0))</f>
        <v>168</v>
      </c>
      <c r="F38" s="77">
        <f>IF(Teacher!L39=0,"",ROUND(Teacher!M39/Teacher!L39*100,0))</f>
        <v>399</v>
      </c>
      <c r="G38" s="77" t="str">
        <f>IF(Teacher!O39=0,"",ROUND(Teacher!P39/Teacher!O39*100,0))</f>
        <v/>
      </c>
    </row>
    <row r="39" spans="1:7" s="11" customFormat="1" ht="21.75" customHeight="1">
      <c r="A39" s="285" t="s">
        <v>46</v>
      </c>
      <c r="B39" s="285"/>
      <c r="C39" s="79">
        <f>IF(Teacher!C40=0,"",ROUND(Teacher!D40/Teacher!C40*100,0))</f>
        <v>66</v>
      </c>
      <c r="D39" s="79">
        <f>IF(Teacher!F40=0,"",ROUND(Teacher!G40/Teacher!F40*100,0))</f>
        <v>66</v>
      </c>
      <c r="E39" s="79">
        <f>IF(Teacher!I40=0,"",ROUND(Teacher!J40/Teacher!I40*100,0))</f>
        <v>76</v>
      </c>
      <c r="F39" s="79">
        <f>IF(Teacher!L40=0,"",ROUND(Teacher!M40/Teacher!L40*100,0))</f>
        <v>79</v>
      </c>
      <c r="G39" s="79">
        <f>IF(Teacher!O40=0,"",ROUND(Teacher!P40/Teacher!O40*100,0))</f>
        <v>3445</v>
      </c>
    </row>
  </sheetData>
  <mergeCells count="1">
    <mergeCell ref="A39:B39"/>
  </mergeCells>
  <printOptions horizontalCentered="1"/>
  <pageMargins left="0.18" right="0.16" top="0.35" bottom="0.41" header="0.22" footer="0.17"/>
  <pageSetup paperSize="9" scale="90" firstPageNumber="46" orientation="portrait" useFirstPageNumber="1" r:id="rId1"/>
  <headerFooter alignWithMargins="0">
    <oddFooter>&amp;LStatistics of School Education 2011-12&amp;R&amp;P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Q41"/>
  <sheetViews>
    <sheetView view="pageBreakPreview" zoomScaleSheetLayoutView="100" workbookViewId="0">
      <selection activeCell="I39" sqref="I39"/>
    </sheetView>
  </sheetViews>
  <sheetFormatPr defaultRowHeight="15.75"/>
  <cols>
    <col min="1" max="1" width="5.140625" style="5" customWidth="1"/>
    <col min="2" max="2" width="19.5703125" style="5" customWidth="1"/>
    <col min="3" max="3" width="16.140625" style="5" customWidth="1"/>
    <col min="4" max="7" width="14" style="5" customWidth="1"/>
    <col min="8" max="16384" width="9.140625" style="5"/>
  </cols>
  <sheetData>
    <row r="1" spans="1:17" s="4" customFormat="1" ht="24.75" customHeight="1">
      <c r="B1" s="1"/>
      <c r="C1" s="16" t="s">
        <v>136</v>
      </c>
      <c r="D1" s="16"/>
      <c r="E1" s="16"/>
      <c r="F1" s="16"/>
      <c r="G1" s="16"/>
    </row>
    <row r="2" spans="1:17" s="12" customFormat="1" ht="69" customHeight="1">
      <c r="A2" s="64" t="s">
        <v>67</v>
      </c>
      <c r="B2" s="64" t="s">
        <v>65</v>
      </c>
      <c r="C2" s="66" t="s">
        <v>68</v>
      </c>
      <c r="D2" s="66" t="s">
        <v>72</v>
      </c>
      <c r="E2" s="66" t="s">
        <v>69</v>
      </c>
      <c r="F2" s="66" t="s">
        <v>59</v>
      </c>
      <c r="G2" s="148" t="s">
        <v>70</v>
      </c>
    </row>
    <row r="3" spans="1:17" s="21" customFormat="1" ht="13.5" customHeight="1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</row>
    <row r="4" spans="1:17" ht="19.5" customHeight="1">
      <c r="A4" s="6">
        <v>1</v>
      </c>
      <c r="B4" s="2" t="s">
        <v>16</v>
      </c>
      <c r="C4" s="76">
        <f>IF(Teacher!E5=0,"",ROUND('Enrl-School'!E5/Teacher!E5,0))</f>
        <v>28</v>
      </c>
      <c r="D4" s="76">
        <f>IF(Teacher!H5=0,"",ROUND('Enrl-School'!H5/Teacher!H5,0))</f>
        <v>26</v>
      </c>
      <c r="E4" s="76">
        <f>IF(Teacher!K5=0,"",ROUND('Enrl-School'!K5/Teacher!K5,0))</f>
        <v>22</v>
      </c>
      <c r="F4" s="76">
        <f>IF(Teacher!N5=0,"",ROUND('Enrl-School'!N5/Teacher!N5,0))</f>
        <v>30</v>
      </c>
      <c r="G4" s="76" t="str">
        <f>IF(Teacher!Q5=0,"",ROUND('Enrl-School'!Q5/Teacher!Q5,0))</f>
        <v/>
      </c>
    </row>
    <row r="5" spans="1:17" ht="19.5" customHeight="1">
      <c r="A5" s="6">
        <v>2</v>
      </c>
      <c r="B5" s="2" t="s">
        <v>17</v>
      </c>
      <c r="C5" s="76">
        <f>IF(Teacher!E6=0,"",ROUND('Enrl-School'!E6/Teacher!E6,0))</f>
        <v>28</v>
      </c>
      <c r="D5" s="76">
        <f>IF(Teacher!H6=0,"",ROUND('Enrl-School'!H6/Teacher!H6,0))</f>
        <v>23</v>
      </c>
      <c r="E5" s="76">
        <f>IF(Teacher!K6=0,"",ROUND('Enrl-School'!K6/Teacher!K6,0))</f>
        <v>23</v>
      </c>
      <c r="F5" s="76">
        <f>IF(Teacher!N6=0,"",ROUND('Enrl-School'!N6/Teacher!N6,0))</f>
        <v>25</v>
      </c>
      <c r="G5" s="76">
        <f>IF(Teacher!Q6=0,"",ROUND('Enrl-School'!Q6/Teacher!Q6,0))</f>
        <v>23</v>
      </c>
    </row>
    <row r="6" spans="1:17" ht="19.5" customHeight="1">
      <c r="A6" s="6">
        <v>3</v>
      </c>
      <c r="B6" s="2" t="s">
        <v>48</v>
      </c>
      <c r="C6" s="76">
        <f>IF(Teacher!E7=0,"",ROUND('Enrl-School'!E7/Teacher!E7,0))</f>
        <v>14</v>
      </c>
      <c r="D6" s="76">
        <f>IF(Teacher!H7=0,"",ROUND('Enrl-School'!H7/Teacher!H7,0))</f>
        <v>20</v>
      </c>
      <c r="E6" s="76">
        <f>IF(Teacher!K7=0,"",ROUND('Enrl-School'!K7/Teacher!K7,0))</f>
        <v>17</v>
      </c>
      <c r="F6" s="76">
        <f>IF(Teacher!N7=0,"",ROUND('Enrl-School'!N7/Teacher!N7,0))</f>
        <v>28</v>
      </c>
      <c r="G6" s="76" t="str">
        <f>IF(Teacher!Q7=0,"",ROUND('Enrl-School'!Q7/Teacher!Q7,0))</f>
        <v/>
      </c>
    </row>
    <row r="7" spans="1:17" ht="19.5" customHeight="1">
      <c r="A7" s="6">
        <v>4</v>
      </c>
      <c r="B7" s="3" t="s">
        <v>49</v>
      </c>
      <c r="C7" s="76">
        <f>IF(Teacher!E8=0,"",ROUND('Enrl-School'!E8/Teacher!E8,0))</f>
        <v>45</v>
      </c>
      <c r="D7" s="76">
        <f>IF(Teacher!H8=0,"",ROUND('Enrl-School'!H8/Teacher!H8,0))</f>
        <v>71</v>
      </c>
      <c r="E7" s="76">
        <f>IF(Teacher!K8=0,"",ROUND('Enrl-School'!K8/Teacher!K8,0))</f>
        <v>47</v>
      </c>
      <c r="F7" s="76">
        <f>IF(Teacher!N8=0,"",ROUND('Enrl-School'!N8/Teacher!N8,0))</f>
        <v>82</v>
      </c>
      <c r="G7" s="76">
        <f>IF(Teacher!Q8=0,"",ROUND('Enrl-School'!Q8/Teacher!Q8,0))</f>
        <v>75</v>
      </c>
    </row>
    <row r="8" spans="1:17" ht="19.5" customHeight="1">
      <c r="A8" s="6">
        <v>5</v>
      </c>
      <c r="B8" s="3" t="s">
        <v>19</v>
      </c>
      <c r="C8" s="76">
        <f>IF(Teacher!E9=0,"",ROUND('Enrl-School'!E9/Teacher!E9,0))</f>
        <v>22</v>
      </c>
      <c r="D8" s="76">
        <f>IF(Teacher!H9=0,"",ROUND('Enrl-School'!H9/Teacher!H9,0))</f>
        <v>43</v>
      </c>
      <c r="E8" s="76">
        <f>IF(Teacher!K9=0,"",ROUND('Enrl-School'!K9/Teacher!K9,0))</f>
        <v>24</v>
      </c>
      <c r="F8" s="76">
        <f>IF(Teacher!N9=0,"",ROUND('Enrl-School'!N9/Teacher!N9,0))</f>
        <v>28</v>
      </c>
      <c r="G8" s="76">
        <f>IF(Teacher!Q9=0,"",ROUND('Enrl-School'!Q9/Teacher!Q9,0))</f>
        <v>45</v>
      </c>
    </row>
    <row r="9" spans="1:17" ht="19.5" customHeight="1">
      <c r="A9" s="6">
        <v>6</v>
      </c>
      <c r="B9" s="2" t="s">
        <v>20</v>
      </c>
      <c r="C9" s="76">
        <f>IF(Teacher!E10=0,"",ROUND('Enrl-School'!E10/Teacher!E10,0))</f>
        <v>21</v>
      </c>
      <c r="D9" s="76">
        <f>IF(Teacher!H10=0,"",ROUND('Enrl-School'!H10/Teacher!H10,0))</f>
        <v>20</v>
      </c>
      <c r="E9" s="76">
        <f>IF(Teacher!K10=0,"",ROUND('Enrl-School'!K10/Teacher!K10,0))</f>
        <v>30</v>
      </c>
      <c r="F9" s="76">
        <f>IF(Teacher!N10=0,"",ROUND('Enrl-School'!N10/Teacher!N10,0))</f>
        <v>25</v>
      </c>
      <c r="G9" s="76" t="str">
        <f>IF(Teacher!Q10=0,"",ROUND('Enrl-School'!Q10/Teacher!Q10,0))</f>
        <v/>
      </c>
    </row>
    <row r="10" spans="1:17" ht="19.5" customHeight="1">
      <c r="A10" s="6">
        <v>7</v>
      </c>
      <c r="B10" s="2" t="s">
        <v>21</v>
      </c>
      <c r="C10" s="76">
        <f>IF(Teacher!E11=0,"",ROUND('Enrl-School'!E11/Teacher!E11,0))</f>
        <v>33</v>
      </c>
      <c r="D10" s="76">
        <f>IF(Teacher!H11=0,"",ROUND('Enrl-School'!H11/Teacher!H11,0))</f>
        <v>45</v>
      </c>
      <c r="E10" s="76">
        <f>IF(Teacher!K11=0,"",ROUND('Enrl-School'!K11/Teacher!K11,0))</f>
        <v>36</v>
      </c>
      <c r="F10" s="76" t="str">
        <f>IF(Teacher!N11=0,"",ROUND('Enrl-School'!N11/Teacher!N11,0))</f>
        <v/>
      </c>
      <c r="G10" s="76" t="str">
        <f>IF(Teacher!Q11=0,"",ROUND('Enrl-School'!Q11/Teacher!Q11,0))</f>
        <v/>
      </c>
    </row>
    <row r="11" spans="1:17" ht="19.5" customHeight="1">
      <c r="A11" s="6">
        <v>8</v>
      </c>
      <c r="B11" s="2" t="s">
        <v>22</v>
      </c>
      <c r="C11" s="76">
        <f>IF(Teacher!E12=0,"",ROUND('Enrl-School'!E12/Teacher!E12,0))</f>
        <v>29</v>
      </c>
      <c r="D11" s="76">
        <f>IF(Teacher!H12=0,"",ROUND('Enrl-School'!H12/Teacher!H12,0))</f>
        <v>26</v>
      </c>
      <c r="E11" s="76">
        <f>IF(Teacher!K12=0,"",ROUND('Enrl-School'!K12/Teacher!K12,0))</f>
        <v>38</v>
      </c>
      <c r="F11" s="76">
        <f>IF(Teacher!N12=0,"",ROUND('Enrl-School'!N12/Teacher!N12,0))</f>
        <v>51</v>
      </c>
      <c r="G11" s="76">
        <f>IF(Teacher!Q12=0,"",ROUND('Enrl-School'!Q12/Teacher!Q12,0))</f>
        <v>37</v>
      </c>
    </row>
    <row r="12" spans="1:17" ht="19.5" customHeight="1">
      <c r="A12" s="8">
        <v>9</v>
      </c>
      <c r="B12" s="2" t="s">
        <v>50</v>
      </c>
      <c r="C12" s="76">
        <f>IF(Teacher!E13=0,"",ROUND('Enrl-School'!E13/Teacher!E13,0))</f>
        <v>22</v>
      </c>
      <c r="D12" s="76">
        <f>IF(Teacher!H13=0,"",ROUND('Enrl-School'!H13/Teacher!H13,0))</f>
        <v>19</v>
      </c>
      <c r="E12" s="76">
        <f>IF(Teacher!K13=0,"",ROUND('Enrl-School'!K13/Teacher!K13,0))</f>
        <v>11</v>
      </c>
      <c r="F12" s="76">
        <f>IF(Teacher!N13=0,"",ROUND('Enrl-School'!N13/Teacher!N13,0))</f>
        <v>15</v>
      </c>
      <c r="G12" s="76">
        <f>IF(Teacher!Q13=0,"",ROUND('Enrl-School'!Q13/Teacher!Q13,0))</f>
        <v>25</v>
      </c>
    </row>
    <row r="13" spans="1:17" ht="19.5" customHeight="1">
      <c r="A13" s="6">
        <v>10</v>
      </c>
      <c r="B13" s="2" t="s">
        <v>51</v>
      </c>
      <c r="C13" s="76">
        <f>IF(Teacher!E14=0,"",ROUND('Enrl-School'!E14/Teacher!E14,0))</f>
        <v>14</v>
      </c>
      <c r="D13" s="76">
        <f>IF(Teacher!H14=0,"",ROUND('Enrl-School'!H14/Teacher!H14,0))</f>
        <v>14</v>
      </c>
      <c r="E13" s="76">
        <f>IF(Teacher!K14=0,"",ROUND('Enrl-School'!K14/Teacher!K14,0))</f>
        <v>15</v>
      </c>
      <c r="F13" s="76">
        <f>IF(Teacher!N14=0,"",ROUND('Enrl-School'!N14/Teacher!N14,0))</f>
        <v>22</v>
      </c>
      <c r="G13" s="76">
        <f>IF(Teacher!Q14=0,"",ROUND('Enrl-School'!Q14/Teacher!Q14,0))</f>
        <v>279</v>
      </c>
      <c r="H13" s="277"/>
    </row>
    <row r="14" spans="1:17" s="75" customFormat="1" ht="19.5" customHeight="1">
      <c r="A14" s="140">
        <v>11</v>
      </c>
      <c r="B14" s="2" t="s">
        <v>52</v>
      </c>
      <c r="C14" s="76" t="str">
        <f>IF(Teacher!E15=0,"",ROUND('Enrl-School'!E15/Teacher!E15,0))</f>
        <v/>
      </c>
      <c r="D14" s="76" t="str">
        <f>IF(Teacher!H15=0,"",ROUND('Enrl-School'!H15/Teacher!H15,0))</f>
        <v/>
      </c>
      <c r="E14" s="76" t="str">
        <f>IF(Teacher!K15=0,"",ROUND('Enrl-School'!K15/Teacher!K15,0))</f>
        <v/>
      </c>
      <c r="F14" s="76" t="str">
        <f>IF(Teacher!N15=0,"",ROUND('Enrl-School'!N15/Teacher!N15,0))</f>
        <v/>
      </c>
      <c r="G14" s="76" t="str">
        <f>IF(Teacher!Q15=0,"",ROUND('Enrl-School'!Q15/Teacher!Q15,0))</f>
        <v/>
      </c>
      <c r="H14" s="277"/>
      <c r="I14" s="5"/>
      <c r="J14" s="5"/>
      <c r="K14" s="5"/>
      <c r="L14" s="5"/>
      <c r="M14" s="5"/>
      <c r="N14" s="5"/>
      <c r="O14" s="5"/>
      <c r="P14" s="5"/>
      <c r="Q14" s="5"/>
    </row>
    <row r="15" spans="1:17" ht="19.5" customHeight="1">
      <c r="A15" s="6">
        <v>12</v>
      </c>
      <c r="B15" s="2" t="s">
        <v>25</v>
      </c>
      <c r="C15" s="76">
        <f>IF(Teacher!E16=0,"",ROUND('Enrl-School'!E16/Teacher!E16,0))</f>
        <v>37</v>
      </c>
      <c r="D15" s="76">
        <f>IF(Teacher!H16=0,"",ROUND('Enrl-School'!H16/Teacher!H16,0))</f>
        <v>22</v>
      </c>
      <c r="E15" s="76">
        <f>IF(Teacher!K16=0,"",ROUND('Enrl-School'!K16/Teacher!K16,0))</f>
        <v>27</v>
      </c>
      <c r="F15" s="76">
        <f>IF(Teacher!N16=0,"",ROUND('Enrl-School'!N16/Teacher!N16,0))</f>
        <v>17</v>
      </c>
      <c r="G15" s="76" t="str">
        <f>IF(Teacher!Q16=0,"",ROUND('Enrl-School'!Q16/Teacher!Q16,0))</f>
        <v/>
      </c>
      <c r="H15" s="277"/>
    </row>
    <row r="16" spans="1:17" ht="19.5" customHeight="1">
      <c r="A16" s="6">
        <v>13</v>
      </c>
      <c r="B16" s="2" t="s">
        <v>53</v>
      </c>
      <c r="C16" s="76">
        <f>IF(Teacher!E17=0,"",ROUND('Enrl-School'!E17/Teacher!E17,0))</f>
        <v>26</v>
      </c>
      <c r="D16" s="76">
        <f>IF(Teacher!H17=0,"",ROUND('Enrl-School'!H17/Teacher!H17,0))</f>
        <v>24</v>
      </c>
      <c r="E16" s="76">
        <f>IF(Teacher!K17=0,"",ROUND('Enrl-School'!K17/Teacher!K17,0))</f>
        <v>25</v>
      </c>
      <c r="F16" s="76">
        <f>IF(Teacher!N17=0,"",ROUND('Enrl-School'!N17/Teacher!N17,0))</f>
        <v>22</v>
      </c>
      <c r="G16" s="76" t="str">
        <f>IF(Teacher!Q17=0,"",ROUND('Enrl-School'!Q17/Teacher!Q17,0))</f>
        <v/>
      </c>
    </row>
    <row r="17" spans="1:7" ht="19.5" customHeight="1">
      <c r="A17" s="6">
        <v>14</v>
      </c>
      <c r="B17" s="2" t="s">
        <v>27</v>
      </c>
      <c r="C17" s="76">
        <f>IF(Teacher!E18=0,"",ROUND('Enrl-School'!E18/Teacher!E18,0))</f>
        <v>23</v>
      </c>
      <c r="D17" s="76">
        <f>IF(Teacher!H18=0,"",ROUND('Enrl-School'!H18/Teacher!H18,0))</f>
        <v>39</v>
      </c>
      <c r="E17" s="76">
        <f>IF(Teacher!K18=0,"",ROUND('Enrl-School'!K18/Teacher!K18,0))</f>
        <v>39</v>
      </c>
      <c r="F17" s="76">
        <f>IF(Teacher!N18=0,"",ROUND('Enrl-School'!N18/Teacher!N18,0))</f>
        <v>38</v>
      </c>
      <c r="G17" s="76" t="str">
        <f>IF(Teacher!Q18=0,"",ROUND('Enrl-School'!Q18/Teacher!Q18,0))</f>
        <v/>
      </c>
    </row>
    <row r="18" spans="1:7" ht="19.5" customHeight="1">
      <c r="A18" s="6">
        <v>15</v>
      </c>
      <c r="B18" s="2" t="s">
        <v>28</v>
      </c>
      <c r="C18" s="76">
        <f>IF(Teacher!E19=0,"",ROUND('Enrl-School'!E19/Teacher!E19,0))</f>
        <v>40</v>
      </c>
      <c r="D18" s="76">
        <f>IF(Teacher!H19=0,"",ROUND('Enrl-School'!H19/Teacher!H19,0))</f>
        <v>32</v>
      </c>
      <c r="E18" s="76">
        <f>IF(Teacher!K19=0,"",ROUND('Enrl-School'!K19/Teacher!K19,0))</f>
        <v>31</v>
      </c>
      <c r="F18" s="76">
        <f>IF(Teacher!N19=0,"",ROUND('Enrl-School'!N19/Teacher!N19,0))</f>
        <v>29</v>
      </c>
      <c r="G18" s="76">
        <f>IF(Teacher!Q19=0,"",ROUND('Enrl-School'!Q19/Teacher!Q19,0))</f>
        <v>0</v>
      </c>
    </row>
    <row r="19" spans="1:7" ht="19.5" customHeight="1">
      <c r="A19" s="6">
        <v>16</v>
      </c>
      <c r="B19" s="2" t="s">
        <v>29</v>
      </c>
      <c r="C19" s="76">
        <f>IF(Teacher!E20=0,"",ROUND('Enrl-School'!E20/Teacher!E20,0))</f>
        <v>22</v>
      </c>
      <c r="D19" s="76">
        <f>IF(Teacher!H20=0,"",ROUND('Enrl-School'!H20/Teacher!H20,0))</f>
        <v>19</v>
      </c>
      <c r="E19" s="76">
        <f>IF(Teacher!K20=0,"",ROUND('Enrl-School'!K20/Teacher!K20,0))</f>
        <v>29</v>
      </c>
      <c r="F19" s="76">
        <f>IF(Teacher!N20=0,"",ROUND('Enrl-School'!N20/Teacher!N20,0))</f>
        <v>25</v>
      </c>
      <c r="G19" s="76">
        <f>IF(Teacher!Q20=0,"",ROUND('Enrl-School'!Q20/Teacher!Q20,0))</f>
        <v>20</v>
      </c>
    </row>
    <row r="20" spans="1:7" ht="19.5" customHeight="1">
      <c r="A20" s="6">
        <v>17</v>
      </c>
      <c r="B20" s="2" t="s">
        <v>30</v>
      </c>
      <c r="C20" s="76">
        <f>IF(Teacher!E21=0,"",ROUND('Enrl-School'!E21/Teacher!E21,0))</f>
        <v>15</v>
      </c>
      <c r="D20" s="76">
        <f>IF(Teacher!H21=0,"",ROUND('Enrl-School'!H21/Teacher!H21,0))</f>
        <v>8</v>
      </c>
      <c r="E20" s="76">
        <f>IF(Teacher!K21=0,"",ROUND('Enrl-School'!K21/Teacher!K21,0))</f>
        <v>12</v>
      </c>
      <c r="F20" s="76">
        <f>IF(Teacher!N21=0,"",ROUND('Enrl-School'!N21/Teacher!N21,0))</f>
        <v>32</v>
      </c>
      <c r="G20" s="76">
        <f>IF(Teacher!Q21=0,"",ROUND('Enrl-School'!Q21/Teacher!Q21,0))</f>
        <v>0</v>
      </c>
    </row>
    <row r="21" spans="1:7" ht="19.5" customHeight="1">
      <c r="A21" s="6">
        <v>18</v>
      </c>
      <c r="B21" s="2" t="s">
        <v>31</v>
      </c>
      <c r="C21" s="76">
        <f>IF(Teacher!E22=0,"",ROUND('Enrl-School'!E22/Teacher!E22,0))</f>
        <v>15</v>
      </c>
      <c r="D21" s="76">
        <f>IF(Teacher!H22=0,"",ROUND('Enrl-School'!H22/Teacher!H22,0))</f>
        <v>9</v>
      </c>
      <c r="E21" s="76">
        <f>IF(Teacher!K22=0,"",ROUND('Enrl-School'!K22/Teacher!K22,0))</f>
        <v>9</v>
      </c>
      <c r="F21" s="76">
        <f>IF(Teacher!N22=0,"",ROUND('Enrl-School'!N22/Teacher!N22,0))</f>
        <v>14</v>
      </c>
      <c r="G21" s="76" t="str">
        <f>IF(Teacher!Q22=0,"",ROUND('Enrl-School'!Q22/Teacher!Q22,0))</f>
        <v/>
      </c>
    </row>
    <row r="22" spans="1:7" ht="19.5" customHeight="1">
      <c r="A22" s="6">
        <v>19</v>
      </c>
      <c r="B22" s="2" t="s">
        <v>54</v>
      </c>
      <c r="C22" s="76">
        <f>IF(Teacher!E23=0,"",ROUND('Enrl-School'!E23/Teacher!E23,0))</f>
        <v>31</v>
      </c>
      <c r="D22" s="76">
        <f>IF(Teacher!H23=0,"",ROUND('Enrl-School'!H23/Teacher!H23,0))</f>
        <v>27</v>
      </c>
      <c r="E22" s="76">
        <f>IF(Teacher!K23=0,"",ROUND('Enrl-School'!K23/Teacher!K23,0))</f>
        <v>15</v>
      </c>
      <c r="F22" s="76">
        <f>IF(Teacher!N23=0,"",ROUND('Enrl-School'!N23/Teacher!N23,0))</f>
        <v>20</v>
      </c>
      <c r="G22" s="76" t="str">
        <f>IF(Teacher!Q23=0,"",ROUND('Enrl-School'!Q23/Teacher!Q23,0))</f>
        <v/>
      </c>
    </row>
    <row r="23" spans="1:7" ht="19.5" customHeight="1">
      <c r="A23" s="6">
        <v>20</v>
      </c>
      <c r="B23" s="2" t="s">
        <v>55</v>
      </c>
      <c r="C23" s="76">
        <f>IF(Teacher!E24=0,"",ROUND('Enrl-School'!E24/Teacher!E24,0))</f>
        <v>17</v>
      </c>
      <c r="D23" s="76">
        <f>IF(Teacher!H24=0,"",ROUND('Enrl-School'!H24/Teacher!H24,0))</f>
        <v>25</v>
      </c>
      <c r="E23" s="76">
        <f>IF(Teacher!K24=0,"",ROUND('Enrl-School'!K24/Teacher!K24,0))</f>
        <v>26</v>
      </c>
      <c r="F23" s="76">
        <f>IF(Teacher!N24=0,"",ROUND('Enrl-School'!N24/Teacher!N24,0))</f>
        <v>32</v>
      </c>
      <c r="G23" s="76" t="str">
        <f>IF(Teacher!Q24=0,"",ROUND('Enrl-School'!Q24/Teacher!Q24,0))</f>
        <v/>
      </c>
    </row>
    <row r="24" spans="1:7" ht="19.5" customHeight="1">
      <c r="A24" s="6">
        <v>21</v>
      </c>
      <c r="B24" s="2" t="s">
        <v>56</v>
      </c>
      <c r="C24" s="76">
        <f>IF(Teacher!E25=0,"",ROUND('Enrl-School'!E25/Teacher!E25,0))</f>
        <v>37</v>
      </c>
      <c r="D24" s="76">
        <f>IF(Teacher!H25=0,"",ROUND('Enrl-School'!H25/Teacher!H25,0))</f>
        <v>34</v>
      </c>
      <c r="E24" s="76">
        <f>IF(Teacher!K25=0,"",ROUND('Enrl-School'!K25/Teacher!K25,0))</f>
        <v>28</v>
      </c>
      <c r="F24" s="76">
        <f>IF(Teacher!N25=0,"",ROUND('Enrl-School'!N25/Teacher!N25,0))</f>
        <v>33</v>
      </c>
      <c r="G24" s="76" t="str">
        <f>IF(Teacher!Q25=0,"",ROUND('Enrl-School'!Q25/Teacher!Q25,0))</f>
        <v/>
      </c>
    </row>
    <row r="25" spans="1:7" ht="19.5" customHeight="1">
      <c r="A25" s="6">
        <v>22</v>
      </c>
      <c r="B25" s="2" t="s">
        <v>32</v>
      </c>
      <c r="C25" s="76">
        <f>IF(Teacher!E26=0,"",ROUND('Enrl-School'!E26/Teacher!E26,0))</f>
        <v>28</v>
      </c>
      <c r="D25" s="76">
        <f>IF(Teacher!H26=0,"",ROUND('Enrl-School'!H26/Teacher!H26,0))</f>
        <v>22</v>
      </c>
      <c r="E25" s="76">
        <f>IF(Teacher!K26=0,"",ROUND('Enrl-School'!K26/Teacher!K26,0))</f>
        <v>25</v>
      </c>
      <c r="F25" s="76">
        <f>IF(Teacher!N26=0,"",ROUND('Enrl-School'!N26/Teacher!N26,0))</f>
        <v>48</v>
      </c>
      <c r="G25" s="76">
        <f>IF(Teacher!Q26=0,"",ROUND('Enrl-School'!Q26/Teacher!Q26,0))</f>
        <v>129</v>
      </c>
    </row>
    <row r="26" spans="1:7" ht="19.5" customHeight="1">
      <c r="A26" s="6">
        <v>23</v>
      </c>
      <c r="B26" s="2" t="s">
        <v>33</v>
      </c>
      <c r="C26" s="76">
        <f>IF(Teacher!E27=0,"",ROUND('Enrl-School'!E27/Teacher!E27,0))</f>
        <v>17</v>
      </c>
      <c r="D26" s="76">
        <f>IF(Teacher!H27=0,"",ROUND('Enrl-School'!H27/Teacher!H27,0))</f>
        <v>15</v>
      </c>
      <c r="E26" s="76">
        <f>IF(Teacher!K27=0,"",ROUND('Enrl-School'!K27/Teacher!K27,0))</f>
        <v>10</v>
      </c>
      <c r="F26" s="76">
        <f>IF(Teacher!N27=0,"",ROUND('Enrl-School'!N27/Teacher!N27,0))</f>
        <v>7</v>
      </c>
      <c r="G26" s="76" t="str">
        <f>IF(Teacher!Q27=0,"",ROUND('Enrl-School'!Q27/Teacher!Q27,0))</f>
        <v/>
      </c>
    </row>
    <row r="27" spans="1:7" ht="19.5" customHeight="1">
      <c r="A27" s="6">
        <v>24</v>
      </c>
      <c r="B27" s="2" t="s">
        <v>34</v>
      </c>
      <c r="C27" s="76">
        <f>IF(Teacher!E28=0,"",ROUND('Enrl-School'!E28/Teacher!E28,0))</f>
        <v>42</v>
      </c>
      <c r="D27" s="76">
        <f>IF(Teacher!H28=0,"",ROUND('Enrl-School'!H28/Teacher!H28,0))</f>
        <v>35</v>
      </c>
      <c r="E27" s="76">
        <f>IF(Teacher!K28=0,"",ROUND('Enrl-School'!K28/Teacher!K28,0))</f>
        <v>26</v>
      </c>
      <c r="F27" s="76">
        <f>IF(Teacher!N28=0,"",ROUND('Enrl-School'!N28/Teacher!N28,0))</f>
        <v>26</v>
      </c>
      <c r="G27" s="76">
        <f>IF(Teacher!Q28=0,"",ROUND('Enrl-School'!Q28/Teacher!Q28,0))</f>
        <v>25</v>
      </c>
    </row>
    <row r="28" spans="1:7" ht="19.5" customHeight="1">
      <c r="A28" s="6">
        <v>25</v>
      </c>
      <c r="B28" s="2" t="s">
        <v>35</v>
      </c>
      <c r="C28" s="76">
        <f>IF(Teacher!E29=0,"",ROUND('Enrl-School'!E29/Teacher!E29,0))</f>
        <v>26</v>
      </c>
      <c r="D28" s="76">
        <f>IF(Teacher!H29=0,"",ROUND('Enrl-School'!H29/Teacher!H29,0))</f>
        <v>20</v>
      </c>
      <c r="E28" s="76">
        <f>IF(Teacher!K29=0,"",ROUND('Enrl-School'!K29/Teacher!K29,0))</f>
        <v>15</v>
      </c>
      <c r="F28" s="76">
        <f>IF(Teacher!N29=0,"",ROUND('Enrl-School'!N29/Teacher!N29,0))</f>
        <v>15</v>
      </c>
      <c r="G28" s="76" t="str">
        <f>IF(Teacher!Q29=0,"",ROUND('Enrl-School'!Q29/Teacher!Q29,0))</f>
        <v/>
      </c>
    </row>
    <row r="29" spans="1:7" ht="19.5" customHeight="1">
      <c r="A29" s="6">
        <v>26</v>
      </c>
      <c r="B29" s="2" t="s">
        <v>36</v>
      </c>
      <c r="C29" s="76">
        <f>IF(Teacher!E30=0,"",ROUND('Enrl-School'!E30/Teacher!E30,0))</f>
        <v>45</v>
      </c>
      <c r="D29" s="76">
        <f>IF(Teacher!H30=0,"",ROUND('Enrl-School'!H30/Teacher!H30,0))</f>
        <v>69</v>
      </c>
      <c r="E29" s="76">
        <f>IF(Teacher!K30=0,"",ROUND('Enrl-School'!K30/Teacher!K30,0))</f>
        <v>43</v>
      </c>
      <c r="F29" s="76">
        <f>IF(Teacher!N30=0,"",ROUND('Enrl-School'!N30/Teacher!N30,0))</f>
        <v>73</v>
      </c>
      <c r="G29" s="76" t="str">
        <f>IF(Teacher!Q30=0,"",ROUND('Enrl-School'!Q30/Teacher!Q30,0))</f>
        <v/>
      </c>
    </row>
    <row r="30" spans="1:7" ht="19.5" customHeight="1">
      <c r="A30" s="6">
        <v>27</v>
      </c>
      <c r="B30" s="2" t="s">
        <v>37</v>
      </c>
      <c r="C30" s="76">
        <f>IF(Teacher!E31=0,"",ROUND('Enrl-School'!E31/Teacher!E31,0))</f>
        <v>21</v>
      </c>
      <c r="D30" s="76">
        <f>IF(Teacher!H31=0,"",ROUND('Enrl-School'!H31/Teacher!H31,0))</f>
        <v>16</v>
      </c>
      <c r="E30" s="76">
        <f>IF(Teacher!K31=0,"",ROUND('Enrl-School'!K31/Teacher!K31,0))</f>
        <v>28</v>
      </c>
      <c r="F30" s="76">
        <f>IF(Teacher!N31=0,"",ROUND('Enrl-School'!N31/Teacher!N31,0))</f>
        <v>23</v>
      </c>
      <c r="G30" s="76" t="str">
        <f>IF(Teacher!Q31=0,"",ROUND('Enrl-School'!Q31/Teacher!Q31,0))</f>
        <v/>
      </c>
    </row>
    <row r="31" spans="1:7" ht="19.5" customHeight="1">
      <c r="A31" s="6">
        <v>28</v>
      </c>
      <c r="B31" s="2" t="s">
        <v>57</v>
      </c>
      <c r="C31" s="76">
        <f>IF(Teacher!E32=0,"",ROUND('Enrl-School'!E32/Teacher!E32,0))</f>
        <v>53</v>
      </c>
      <c r="D31" s="76">
        <f>IF(Teacher!H32=0,"",ROUND('Enrl-School'!H32/Teacher!H32,0))</f>
        <v>113</v>
      </c>
      <c r="E31" s="76">
        <f>IF(Teacher!K32=0,"",ROUND('Enrl-School'!K32/Teacher!K32,0))</f>
        <v>255</v>
      </c>
      <c r="F31" s="76">
        <f>IF(Teacher!N32=0,"",ROUND('Enrl-School'!N32/Teacher!N32,0))</f>
        <v>30</v>
      </c>
      <c r="G31" s="76" t="str">
        <f>IF(Teacher!Q32=0,"",ROUND('Enrl-School'!Q32/Teacher!Q32,0))</f>
        <v/>
      </c>
    </row>
    <row r="32" spans="1:7" ht="19.5" customHeight="1">
      <c r="A32" s="6">
        <v>29</v>
      </c>
      <c r="B32" s="2" t="s">
        <v>39</v>
      </c>
      <c r="C32" s="76">
        <f>IF(Teacher!E33=0,"",ROUND('Enrl-School'!E33/Teacher!E33,0))</f>
        <v>19</v>
      </c>
      <c r="D32" s="76">
        <f>IF(Teacher!H33=0,"",ROUND('Enrl-School'!H33/Teacher!H33,0))</f>
        <v>14</v>
      </c>
      <c r="E32" s="76">
        <f>IF(Teacher!K33=0,"",ROUND('Enrl-School'!K33/Teacher!K33,0))</f>
        <v>13</v>
      </c>
      <c r="F32" s="76">
        <f>IF(Teacher!N33=0,"",ROUND('Enrl-School'!N33/Teacher!N33,0))</f>
        <v>14</v>
      </c>
      <c r="G32" s="76">
        <f>IF(Teacher!Q33=0,"",ROUND('Enrl-School'!Q33/Teacher!Q33,0))</f>
        <v>22</v>
      </c>
    </row>
    <row r="33" spans="1:7" ht="19.5" customHeight="1">
      <c r="A33" s="6">
        <v>30</v>
      </c>
      <c r="B33" s="2" t="s">
        <v>40</v>
      </c>
      <c r="C33" s="76">
        <f>IF(Teacher!E34=0,"",ROUND('Enrl-School'!E34/Teacher!E34,0))</f>
        <v>38</v>
      </c>
      <c r="D33" s="76" t="str">
        <f>IF(Teacher!H34=0,"",ROUND('Enrl-School'!H34/Teacher!H34,0))</f>
        <v/>
      </c>
      <c r="E33" s="76">
        <f>IF(Teacher!K34=0,"",ROUND('Enrl-School'!K34/Teacher!K34,0))</f>
        <v>30</v>
      </c>
      <c r="F33" s="76">
        <f>IF(Teacher!N34=0,"",ROUND('Enrl-School'!N34/Teacher!N34,0))</f>
        <v>31</v>
      </c>
      <c r="G33" s="76" t="str">
        <f>IF(Teacher!Q34=0,"",ROUND('Enrl-School'!Q34/Teacher!Q34,0))</f>
        <v/>
      </c>
    </row>
    <row r="34" spans="1:7" ht="19.5" customHeight="1">
      <c r="A34" s="6">
        <v>31</v>
      </c>
      <c r="B34" s="2" t="s">
        <v>41</v>
      </c>
      <c r="C34" s="76">
        <f>IF(Teacher!E35=0,"",ROUND('Enrl-School'!E35/Teacher!E35,0))</f>
        <v>36</v>
      </c>
      <c r="D34" s="76">
        <f>IF(Teacher!H35=0,"",ROUND('Enrl-School'!H35/Teacher!H35,0))</f>
        <v>26</v>
      </c>
      <c r="E34" s="76">
        <f>IF(Teacher!K35=0,"",ROUND('Enrl-School'!K35/Teacher!K35,0))</f>
        <v>36</v>
      </c>
      <c r="F34" s="76">
        <f>IF(Teacher!N35=0,"",ROUND('Enrl-School'!N35/Teacher!N35,0))</f>
        <v>42</v>
      </c>
      <c r="G34" s="76" t="str">
        <f>IF(Teacher!Q35=0,"",ROUND('Enrl-School'!Q35/Teacher!Q35,0))</f>
        <v/>
      </c>
    </row>
    <row r="35" spans="1:7" ht="19.5" customHeight="1">
      <c r="A35" s="6">
        <v>32</v>
      </c>
      <c r="B35" s="2" t="s">
        <v>42</v>
      </c>
      <c r="C35" s="76">
        <f>IF(Teacher!E36=0,"",ROUND('Enrl-School'!E36/Teacher!E36,0))</f>
        <v>41</v>
      </c>
      <c r="D35" s="76">
        <f>IF(Teacher!H36=0,"",ROUND('Enrl-School'!H36/Teacher!H36,0))</f>
        <v>21</v>
      </c>
      <c r="E35" s="76">
        <f>IF(Teacher!K36=0,"",ROUND('Enrl-School'!K36/Teacher!K36,0))</f>
        <v>34</v>
      </c>
      <c r="F35" s="76">
        <f>IF(Teacher!N36=0,"",ROUND('Enrl-School'!N36/Teacher!N36,0))</f>
        <v>33</v>
      </c>
      <c r="G35" s="76">
        <f>IF(Teacher!Q36=0,"",ROUND('Enrl-School'!Q36/Teacher!Q36,0))</f>
        <v>28</v>
      </c>
    </row>
    <row r="36" spans="1:7" ht="19.5" customHeight="1">
      <c r="A36" s="6">
        <v>33</v>
      </c>
      <c r="B36" s="2" t="s">
        <v>43</v>
      </c>
      <c r="C36" s="76">
        <f>IF(Teacher!E37=0,"",ROUND('Enrl-School'!E37/Teacher!E37,0))</f>
        <v>33</v>
      </c>
      <c r="D36" s="76">
        <f>IF(Teacher!H37=0,"",ROUND('Enrl-School'!H37/Teacher!H37,0))</f>
        <v>35</v>
      </c>
      <c r="E36" s="76">
        <f>IF(Teacher!K37=0,"",ROUND('Enrl-School'!K37/Teacher!K37,0))</f>
        <v>30</v>
      </c>
      <c r="F36" s="76">
        <f>IF(Teacher!N37=0,"",ROUND('Enrl-School'!N37/Teacher!N37,0))</f>
        <v>42</v>
      </c>
      <c r="G36" s="76">
        <f>IF(Teacher!Q37=0,"",ROUND('Enrl-School'!Q37/Teacher!Q37,0))</f>
        <v>29</v>
      </c>
    </row>
    <row r="37" spans="1:7" ht="19.5" customHeight="1">
      <c r="A37" s="6">
        <v>34</v>
      </c>
      <c r="B37" s="2" t="s">
        <v>58</v>
      </c>
      <c r="C37" s="76">
        <f>IF(Teacher!E38=0,"",ROUND('Enrl-School'!E38/Teacher!E38,0))</f>
        <v>4</v>
      </c>
      <c r="D37" s="76">
        <f>IF(Teacher!H38=0,"",ROUND('Enrl-School'!H38/Teacher!H38,0))</f>
        <v>146</v>
      </c>
      <c r="E37" s="76">
        <f>IF(Teacher!K38=0,"",ROUND('Enrl-School'!K38/Teacher!K38,0))</f>
        <v>27</v>
      </c>
      <c r="F37" s="76">
        <f>IF(Teacher!N38=0,"",ROUND('Enrl-School'!N38/Teacher!N38,0))</f>
        <v>24</v>
      </c>
      <c r="G37" s="76">
        <f>IF(Teacher!Q38=0,"",ROUND('Enrl-School'!Q38/Teacher!Q38,0))</f>
        <v>23</v>
      </c>
    </row>
    <row r="38" spans="1:7" ht="19.5" customHeight="1">
      <c r="A38" s="6">
        <v>35</v>
      </c>
      <c r="B38" s="2" t="s">
        <v>45</v>
      </c>
      <c r="C38" s="76">
        <f>IF(Teacher!E39=0,"",ROUND('Enrl-School'!E39/Teacher!E39,0))</f>
        <v>100</v>
      </c>
      <c r="D38" s="76">
        <f>IF(Teacher!H39=0,"",ROUND('Enrl-School'!H39/Teacher!H39,0))</f>
        <v>100</v>
      </c>
      <c r="E38" s="76">
        <f>IF(Teacher!K39=0,"",ROUND('Enrl-School'!K39/Teacher!K39,0))</f>
        <v>14</v>
      </c>
      <c r="F38" s="76">
        <f>IF(Teacher!N39=0,"",ROUND('Enrl-School'!N39/Teacher!N39,0))</f>
        <v>26</v>
      </c>
      <c r="G38" s="76">
        <f>IF(Teacher!Q39=0,"",ROUND('Enrl-School'!Q39/Teacher!Q39,0))</f>
        <v>29</v>
      </c>
    </row>
    <row r="39" spans="1:7" s="71" customFormat="1" ht="19.5" customHeight="1">
      <c r="A39" s="286" t="s">
        <v>46</v>
      </c>
      <c r="B39" s="286"/>
      <c r="C39" s="81">
        <f>IF(Teacher!E40=0,"",ROUND('Enrl-School'!E40/Teacher!E40,0))</f>
        <v>33</v>
      </c>
      <c r="D39" s="81">
        <f>IF(Teacher!H40=0,"",ROUND('Enrl-School'!H40/Teacher!H40,0))</f>
        <v>32</v>
      </c>
      <c r="E39" s="81">
        <f>IF(Teacher!K40=0,"",ROUND('Enrl-School'!K40/Teacher!K40,0))</f>
        <v>34</v>
      </c>
      <c r="F39" s="81">
        <f>IF(Teacher!N40=0,"",ROUND('Enrl-School'!N40/Teacher!N40,0))</f>
        <v>41</v>
      </c>
      <c r="G39" s="81">
        <f>IF(Teacher!Q40=0,"",ROUND('Enrl-School'!Q40/Teacher!Q40,0))</f>
        <v>13</v>
      </c>
    </row>
    <row r="41" spans="1:7">
      <c r="F41" s="72"/>
    </row>
  </sheetData>
  <mergeCells count="1">
    <mergeCell ref="A39:B39"/>
  </mergeCells>
  <printOptions horizontalCentered="1"/>
  <pageMargins left="0.18" right="0.17" top="0.35" bottom="0.41" header="0.22" footer="0.17"/>
  <pageSetup paperSize="9" firstPageNumber="47" orientation="portrait" useFirstPageNumber="1" r:id="rId1"/>
  <headerFooter alignWithMargins="0">
    <oddFooter>&amp;LStatistics of School Education 2011-12&amp;R&amp;P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BJ56"/>
  <sheetViews>
    <sheetView view="pageBreakPreview" topLeftCell="K28" zoomScaleSheetLayoutView="100" workbookViewId="0">
      <selection activeCell="Z42" sqref="Z42"/>
    </sheetView>
  </sheetViews>
  <sheetFormatPr defaultColWidth="8.85546875" defaultRowHeight="15.75"/>
  <cols>
    <col min="1" max="1" width="6.140625" style="5" customWidth="1"/>
    <col min="2" max="2" width="19.5703125" style="5" customWidth="1"/>
    <col min="3" max="26" width="11.5703125" style="5" customWidth="1"/>
    <col min="27" max="109" width="8.85546875" style="5"/>
    <col min="110" max="110" width="6.140625" style="5" customWidth="1"/>
    <col min="111" max="111" width="20.28515625" style="5" customWidth="1"/>
    <col min="112" max="112" width="12.42578125" style="5" customWidth="1"/>
    <col min="113" max="113" width="13" style="5" customWidth="1"/>
    <col min="114" max="114" width="12.5703125" style="5" customWidth="1"/>
    <col min="115" max="128" width="11.7109375" style="5" customWidth="1"/>
    <col min="129" max="129" width="12.28515625" style="5" customWidth="1"/>
    <col min="130" max="130" width="11.7109375" style="5" customWidth="1"/>
    <col min="131" max="131" width="12.85546875" style="5" customWidth="1"/>
    <col min="132" max="132" width="11.7109375" style="5" customWidth="1"/>
    <col min="133" max="133" width="12.7109375" style="5" customWidth="1"/>
    <col min="134" max="134" width="11.7109375" style="5" customWidth="1"/>
    <col min="135" max="135" width="13" style="5" customWidth="1"/>
    <col min="136" max="147" width="11.7109375" style="5" customWidth="1"/>
    <col min="148" max="148" width="12.5703125" style="5" customWidth="1"/>
    <col min="149" max="149" width="11.7109375" style="5" customWidth="1"/>
    <col min="150" max="150" width="13" style="5" customWidth="1"/>
    <col min="151" max="156" width="11.7109375" style="5" customWidth="1"/>
    <col min="157" max="157" width="13.7109375" style="5" customWidth="1"/>
    <col min="158" max="158" width="13.140625" style="5" customWidth="1"/>
    <col min="159" max="162" width="13" style="5" customWidth="1"/>
    <col min="163" max="169" width="11.7109375" style="5" customWidth="1"/>
    <col min="170" max="170" width="10.85546875" style="5" customWidth="1"/>
    <col min="171" max="171" width="11.7109375" style="5" customWidth="1"/>
    <col min="172" max="174" width="22.7109375" style="5" customWidth="1"/>
    <col min="175" max="177" width="20.7109375" style="5" customWidth="1"/>
    <col min="178" max="365" width="8.85546875" style="5"/>
    <col min="366" max="366" width="6.140625" style="5" customWidth="1"/>
    <col min="367" max="367" width="20.28515625" style="5" customWidth="1"/>
    <col min="368" max="368" width="12.42578125" style="5" customWidth="1"/>
    <col min="369" max="369" width="13" style="5" customWidth="1"/>
    <col min="370" max="370" width="12.5703125" style="5" customWidth="1"/>
    <col min="371" max="384" width="11.7109375" style="5" customWidth="1"/>
    <col min="385" max="385" width="12.28515625" style="5" customWidth="1"/>
    <col min="386" max="386" width="11.7109375" style="5" customWidth="1"/>
    <col min="387" max="387" width="12.85546875" style="5" customWidth="1"/>
    <col min="388" max="388" width="11.7109375" style="5" customWidth="1"/>
    <col min="389" max="389" width="12.7109375" style="5" customWidth="1"/>
    <col min="390" max="390" width="11.7109375" style="5" customWidth="1"/>
    <col min="391" max="391" width="13" style="5" customWidth="1"/>
    <col min="392" max="403" width="11.7109375" style="5" customWidth="1"/>
    <col min="404" max="404" width="12.5703125" style="5" customWidth="1"/>
    <col min="405" max="405" width="11.7109375" style="5" customWidth="1"/>
    <col min="406" max="406" width="13" style="5" customWidth="1"/>
    <col min="407" max="412" width="11.7109375" style="5" customWidth="1"/>
    <col min="413" max="413" width="13.7109375" style="5" customWidth="1"/>
    <col min="414" max="414" width="13.140625" style="5" customWidth="1"/>
    <col min="415" max="418" width="13" style="5" customWidth="1"/>
    <col min="419" max="425" width="11.7109375" style="5" customWidth="1"/>
    <col min="426" max="426" width="10.85546875" style="5" customWidth="1"/>
    <col min="427" max="427" width="11.7109375" style="5" customWidth="1"/>
    <col min="428" max="430" width="22.7109375" style="5" customWidth="1"/>
    <col min="431" max="433" width="20.7109375" style="5" customWidth="1"/>
    <col min="434" max="621" width="8.85546875" style="5"/>
    <col min="622" max="622" width="6.140625" style="5" customWidth="1"/>
    <col min="623" max="623" width="20.28515625" style="5" customWidth="1"/>
    <col min="624" max="624" width="12.42578125" style="5" customWidth="1"/>
    <col min="625" max="625" width="13" style="5" customWidth="1"/>
    <col min="626" max="626" width="12.5703125" style="5" customWidth="1"/>
    <col min="627" max="640" width="11.7109375" style="5" customWidth="1"/>
    <col min="641" max="641" width="12.28515625" style="5" customWidth="1"/>
    <col min="642" max="642" width="11.7109375" style="5" customWidth="1"/>
    <col min="643" max="643" width="12.85546875" style="5" customWidth="1"/>
    <col min="644" max="644" width="11.7109375" style="5" customWidth="1"/>
    <col min="645" max="645" width="12.7109375" style="5" customWidth="1"/>
    <col min="646" max="646" width="11.7109375" style="5" customWidth="1"/>
    <col min="647" max="647" width="13" style="5" customWidth="1"/>
    <col min="648" max="659" width="11.7109375" style="5" customWidth="1"/>
    <col min="660" max="660" width="12.5703125" style="5" customWidth="1"/>
    <col min="661" max="661" width="11.7109375" style="5" customWidth="1"/>
    <col min="662" max="662" width="13" style="5" customWidth="1"/>
    <col min="663" max="668" width="11.7109375" style="5" customWidth="1"/>
    <col min="669" max="669" width="13.7109375" style="5" customWidth="1"/>
    <col min="670" max="670" width="13.140625" style="5" customWidth="1"/>
    <col min="671" max="674" width="13" style="5" customWidth="1"/>
    <col min="675" max="681" width="11.7109375" style="5" customWidth="1"/>
    <col min="682" max="682" width="10.85546875" style="5" customWidth="1"/>
    <col min="683" max="683" width="11.7109375" style="5" customWidth="1"/>
    <col min="684" max="686" width="22.7109375" style="5" customWidth="1"/>
    <col min="687" max="689" width="20.7109375" style="5" customWidth="1"/>
    <col min="690" max="877" width="8.85546875" style="5"/>
    <col min="878" max="878" width="6.140625" style="5" customWidth="1"/>
    <col min="879" max="879" width="20.28515625" style="5" customWidth="1"/>
    <col min="880" max="880" width="12.42578125" style="5" customWidth="1"/>
    <col min="881" max="881" width="13" style="5" customWidth="1"/>
    <col min="882" max="882" width="12.5703125" style="5" customWidth="1"/>
    <col min="883" max="896" width="11.7109375" style="5" customWidth="1"/>
    <col min="897" max="897" width="12.28515625" style="5" customWidth="1"/>
    <col min="898" max="898" width="11.7109375" style="5" customWidth="1"/>
    <col min="899" max="899" width="12.85546875" style="5" customWidth="1"/>
    <col min="900" max="900" width="11.7109375" style="5" customWidth="1"/>
    <col min="901" max="901" width="12.7109375" style="5" customWidth="1"/>
    <col min="902" max="902" width="11.7109375" style="5" customWidth="1"/>
    <col min="903" max="903" width="13" style="5" customWidth="1"/>
    <col min="904" max="915" width="11.7109375" style="5" customWidth="1"/>
    <col min="916" max="916" width="12.5703125" style="5" customWidth="1"/>
    <col min="917" max="917" width="11.7109375" style="5" customWidth="1"/>
    <col min="918" max="918" width="13" style="5" customWidth="1"/>
    <col min="919" max="924" width="11.7109375" style="5" customWidth="1"/>
    <col min="925" max="925" width="13.7109375" style="5" customWidth="1"/>
    <col min="926" max="926" width="13.140625" style="5" customWidth="1"/>
    <col min="927" max="930" width="13" style="5" customWidth="1"/>
    <col min="931" max="937" width="11.7109375" style="5" customWidth="1"/>
    <col min="938" max="938" width="10.85546875" style="5" customWidth="1"/>
    <col min="939" max="939" width="11.7109375" style="5" customWidth="1"/>
    <col min="940" max="942" width="22.7109375" style="5" customWidth="1"/>
    <col min="943" max="945" width="20.7109375" style="5" customWidth="1"/>
    <col min="946" max="1133" width="8.85546875" style="5"/>
    <col min="1134" max="1134" width="6.140625" style="5" customWidth="1"/>
    <col min="1135" max="1135" width="20.28515625" style="5" customWidth="1"/>
    <col min="1136" max="1136" width="12.42578125" style="5" customWidth="1"/>
    <col min="1137" max="1137" width="13" style="5" customWidth="1"/>
    <col min="1138" max="1138" width="12.5703125" style="5" customWidth="1"/>
    <col min="1139" max="1152" width="11.7109375" style="5" customWidth="1"/>
    <col min="1153" max="1153" width="12.28515625" style="5" customWidth="1"/>
    <col min="1154" max="1154" width="11.7109375" style="5" customWidth="1"/>
    <col min="1155" max="1155" width="12.85546875" style="5" customWidth="1"/>
    <col min="1156" max="1156" width="11.7109375" style="5" customWidth="1"/>
    <col min="1157" max="1157" width="12.7109375" style="5" customWidth="1"/>
    <col min="1158" max="1158" width="11.7109375" style="5" customWidth="1"/>
    <col min="1159" max="1159" width="13" style="5" customWidth="1"/>
    <col min="1160" max="1171" width="11.7109375" style="5" customWidth="1"/>
    <col min="1172" max="1172" width="12.5703125" style="5" customWidth="1"/>
    <col min="1173" max="1173" width="11.7109375" style="5" customWidth="1"/>
    <col min="1174" max="1174" width="13" style="5" customWidth="1"/>
    <col min="1175" max="1180" width="11.7109375" style="5" customWidth="1"/>
    <col min="1181" max="1181" width="13.7109375" style="5" customWidth="1"/>
    <col min="1182" max="1182" width="13.140625" style="5" customWidth="1"/>
    <col min="1183" max="1186" width="13" style="5" customWidth="1"/>
    <col min="1187" max="1193" width="11.7109375" style="5" customWidth="1"/>
    <col min="1194" max="1194" width="10.85546875" style="5" customWidth="1"/>
    <col min="1195" max="1195" width="11.7109375" style="5" customWidth="1"/>
    <col min="1196" max="1198" width="22.7109375" style="5" customWidth="1"/>
    <col min="1199" max="1201" width="20.7109375" style="5" customWidth="1"/>
    <col min="1202" max="1389" width="8.85546875" style="5"/>
    <col min="1390" max="1390" width="6.140625" style="5" customWidth="1"/>
    <col min="1391" max="1391" width="20.28515625" style="5" customWidth="1"/>
    <col min="1392" max="1392" width="12.42578125" style="5" customWidth="1"/>
    <col min="1393" max="1393" width="13" style="5" customWidth="1"/>
    <col min="1394" max="1394" width="12.5703125" style="5" customWidth="1"/>
    <col min="1395" max="1408" width="11.7109375" style="5" customWidth="1"/>
    <col min="1409" max="1409" width="12.28515625" style="5" customWidth="1"/>
    <col min="1410" max="1410" width="11.7109375" style="5" customWidth="1"/>
    <col min="1411" max="1411" width="12.85546875" style="5" customWidth="1"/>
    <col min="1412" max="1412" width="11.7109375" style="5" customWidth="1"/>
    <col min="1413" max="1413" width="12.7109375" style="5" customWidth="1"/>
    <col min="1414" max="1414" width="11.7109375" style="5" customWidth="1"/>
    <col min="1415" max="1415" width="13" style="5" customWidth="1"/>
    <col min="1416" max="1427" width="11.7109375" style="5" customWidth="1"/>
    <col min="1428" max="1428" width="12.5703125" style="5" customWidth="1"/>
    <col min="1429" max="1429" width="11.7109375" style="5" customWidth="1"/>
    <col min="1430" max="1430" width="13" style="5" customWidth="1"/>
    <col min="1431" max="1436" width="11.7109375" style="5" customWidth="1"/>
    <col min="1437" max="1437" width="13.7109375" style="5" customWidth="1"/>
    <col min="1438" max="1438" width="13.140625" style="5" customWidth="1"/>
    <col min="1439" max="1442" width="13" style="5" customWidth="1"/>
    <col min="1443" max="1449" width="11.7109375" style="5" customWidth="1"/>
    <col min="1450" max="1450" width="10.85546875" style="5" customWidth="1"/>
    <col min="1451" max="1451" width="11.7109375" style="5" customWidth="1"/>
    <col min="1452" max="1454" width="22.7109375" style="5" customWidth="1"/>
    <col min="1455" max="1457" width="20.7109375" style="5" customWidth="1"/>
    <col min="1458" max="1645" width="8.85546875" style="5"/>
    <col min="1646" max="1646" width="6.140625" style="5" customWidth="1"/>
    <col min="1647" max="1647" width="20.28515625" style="5" customWidth="1"/>
    <col min="1648" max="1648" width="12.42578125" style="5" customWidth="1"/>
    <col min="1649" max="1649" width="13" style="5" customWidth="1"/>
    <col min="1650" max="1650" width="12.5703125" style="5" customWidth="1"/>
    <col min="1651" max="1664" width="11.7109375" style="5" customWidth="1"/>
    <col min="1665" max="1665" width="12.28515625" style="5" customWidth="1"/>
    <col min="1666" max="1666" width="11.7109375" style="5" customWidth="1"/>
    <col min="1667" max="1667" width="12.85546875" style="5" customWidth="1"/>
    <col min="1668" max="1668" width="11.7109375" style="5" customWidth="1"/>
    <col min="1669" max="1669" width="12.7109375" style="5" customWidth="1"/>
    <col min="1670" max="1670" width="11.7109375" style="5" customWidth="1"/>
    <col min="1671" max="1671" width="13" style="5" customWidth="1"/>
    <col min="1672" max="1683" width="11.7109375" style="5" customWidth="1"/>
    <col min="1684" max="1684" width="12.5703125" style="5" customWidth="1"/>
    <col min="1685" max="1685" width="11.7109375" style="5" customWidth="1"/>
    <col min="1686" max="1686" width="13" style="5" customWidth="1"/>
    <col min="1687" max="1692" width="11.7109375" style="5" customWidth="1"/>
    <col min="1693" max="1693" width="13.7109375" style="5" customWidth="1"/>
    <col min="1694" max="1694" width="13.140625" style="5" customWidth="1"/>
    <col min="1695" max="1698" width="13" style="5" customWidth="1"/>
    <col min="1699" max="1705" width="11.7109375" style="5" customWidth="1"/>
    <col min="1706" max="1706" width="10.85546875" style="5" customWidth="1"/>
    <col min="1707" max="1707" width="11.7109375" style="5" customWidth="1"/>
    <col min="1708" max="1710" width="22.7109375" style="5" customWidth="1"/>
    <col min="1711" max="1713" width="20.7109375" style="5" customWidth="1"/>
    <col min="1714" max="1901" width="8.85546875" style="5"/>
    <col min="1902" max="1902" width="6.140625" style="5" customWidth="1"/>
    <col min="1903" max="1903" width="20.28515625" style="5" customWidth="1"/>
    <col min="1904" max="1904" width="12.42578125" style="5" customWidth="1"/>
    <col min="1905" max="1905" width="13" style="5" customWidth="1"/>
    <col min="1906" max="1906" width="12.5703125" style="5" customWidth="1"/>
    <col min="1907" max="1920" width="11.7109375" style="5" customWidth="1"/>
    <col min="1921" max="1921" width="12.28515625" style="5" customWidth="1"/>
    <col min="1922" max="1922" width="11.7109375" style="5" customWidth="1"/>
    <col min="1923" max="1923" width="12.85546875" style="5" customWidth="1"/>
    <col min="1924" max="1924" width="11.7109375" style="5" customWidth="1"/>
    <col min="1925" max="1925" width="12.7109375" style="5" customWidth="1"/>
    <col min="1926" max="1926" width="11.7109375" style="5" customWidth="1"/>
    <col min="1927" max="1927" width="13" style="5" customWidth="1"/>
    <col min="1928" max="1939" width="11.7109375" style="5" customWidth="1"/>
    <col min="1940" max="1940" width="12.5703125" style="5" customWidth="1"/>
    <col min="1941" max="1941" width="11.7109375" style="5" customWidth="1"/>
    <col min="1942" max="1942" width="13" style="5" customWidth="1"/>
    <col min="1943" max="1948" width="11.7109375" style="5" customWidth="1"/>
    <col min="1949" max="1949" width="13.7109375" style="5" customWidth="1"/>
    <col min="1950" max="1950" width="13.140625" style="5" customWidth="1"/>
    <col min="1951" max="1954" width="13" style="5" customWidth="1"/>
    <col min="1955" max="1961" width="11.7109375" style="5" customWidth="1"/>
    <col min="1962" max="1962" width="10.85546875" style="5" customWidth="1"/>
    <col min="1963" max="1963" width="11.7109375" style="5" customWidth="1"/>
    <col min="1964" max="1966" width="22.7109375" style="5" customWidth="1"/>
    <col min="1967" max="1969" width="20.7109375" style="5" customWidth="1"/>
    <col min="1970" max="2157" width="8.85546875" style="5"/>
    <col min="2158" max="2158" width="6.140625" style="5" customWidth="1"/>
    <col min="2159" max="2159" width="20.28515625" style="5" customWidth="1"/>
    <col min="2160" max="2160" width="12.42578125" style="5" customWidth="1"/>
    <col min="2161" max="2161" width="13" style="5" customWidth="1"/>
    <col min="2162" max="2162" width="12.5703125" style="5" customWidth="1"/>
    <col min="2163" max="2176" width="11.7109375" style="5" customWidth="1"/>
    <col min="2177" max="2177" width="12.28515625" style="5" customWidth="1"/>
    <col min="2178" max="2178" width="11.7109375" style="5" customWidth="1"/>
    <col min="2179" max="2179" width="12.85546875" style="5" customWidth="1"/>
    <col min="2180" max="2180" width="11.7109375" style="5" customWidth="1"/>
    <col min="2181" max="2181" width="12.7109375" style="5" customWidth="1"/>
    <col min="2182" max="2182" width="11.7109375" style="5" customWidth="1"/>
    <col min="2183" max="2183" width="13" style="5" customWidth="1"/>
    <col min="2184" max="2195" width="11.7109375" style="5" customWidth="1"/>
    <col min="2196" max="2196" width="12.5703125" style="5" customWidth="1"/>
    <col min="2197" max="2197" width="11.7109375" style="5" customWidth="1"/>
    <col min="2198" max="2198" width="13" style="5" customWidth="1"/>
    <col min="2199" max="2204" width="11.7109375" style="5" customWidth="1"/>
    <col min="2205" max="2205" width="13.7109375" style="5" customWidth="1"/>
    <col min="2206" max="2206" width="13.140625" style="5" customWidth="1"/>
    <col min="2207" max="2210" width="13" style="5" customWidth="1"/>
    <col min="2211" max="2217" width="11.7109375" style="5" customWidth="1"/>
    <col min="2218" max="2218" width="10.85546875" style="5" customWidth="1"/>
    <col min="2219" max="2219" width="11.7109375" style="5" customWidth="1"/>
    <col min="2220" max="2222" width="22.7109375" style="5" customWidth="1"/>
    <col min="2223" max="2225" width="20.7109375" style="5" customWidth="1"/>
    <col min="2226" max="2413" width="8.85546875" style="5"/>
    <col min="2414" max="2414" width="6.140625" style="5" customWidth="1"/>
    <col min="2415" max="2415" width="20.28515625" style="5" customWidth="1"/>
    <col min="2416" max="2416" width="12.42578125" style="5" customWidth="1"/>
    <col min="2417" max="2417" width="13" style="5" customWidth="1"/>
    <col min="2418" max="2418" width="12.5703125" style="5" customWidth="1"/>
    <col min="2419" max="2432" width="11.7109375" style="5" customWidth="1"/>
    <col min="2433" max="2433" width="12.28515625" style="5" customWidth="1"/>
    <col min="2434" max="2434" width="11.7109375" style="5" customWidth="1"/>
    <col min="2435" max="2435" width="12.85546875" style="5" customWidth="1"/>
    <col min="2436" max="2436" width="11.7109375" style="5" customWidth="1"/>
    <col min="2437" max="2437" width="12.7109375" style="5" customWidth="1"/>
    <col min="2438" max="2438" width="11.7109375" style="5" customWidth="1"/>
    <col min="2439" max="2439" width="13" style="5" customWidth="1"/>
    <col min="2440" max="2451" width="11.7109375" style="5" customWidth="1"/>
    <col min="2452" max="2452" width="12.5703125" style="5" customWidth="1"/>
    <col min="2453" max="2453" width="11.7109375" style="5" customWidth="1"/>
    <col min="2454" max="2454" width="13" style="5" customWidth="1"/>
    <col min="2455" max="2460" width="11.7109375" style="5" customWidth="1"/>
    <col min="2461" max="2461" width="13.7109375" style="5" customWidth="1"/>
    <col min="2462" max="2462" width="13.140625" style="5" customWidth="1"/>
    <col min="2463" max="2466" width="13" style="5" customWidth="1"/>
    <col min="2467" max="2473" width="11.7109375" style="5" customWidth="1"/>
    <col min="2474" max="2474" width="10.85546875" style="5" customWidth="1"/>
    <col min="2475" max="2475" width="11.7109375" style="5" customWidth="1"/>
    <col min="2476" max="2478" width="22.7109375" style="5" customWidth="1"/>
    <col min="2479" max="2481" width="20.7109375" style="5" customWidth="1"/>
    <col min="2482" max="2669" width="8.85546875" style="5"/>
    <col min="2670" max="2670" width="6.140625" style="5" customWidth="1"/>
    <col min="2671" max="2671" width="20.28515625" style="5" customWidth="1"/>
    <col min="2672" max="2672" width="12.42578125" style="5" customWidth="1"/>
    <col min="2673" max="2673" width="13" style="5" customWidth="1"/>
    <col min="2674" max="2674" width="12.5703125" style="5" customWidth="1"/>
    <col min="2675" max="2688" width="11.7109375" style="5" customWidth="1"/>
    <col min="2689" max="2689" width="12.28515625" style="5" customWidth="1"/>
    <col min="2690" max="2690" width="11.7109375" style="5" customWidth="1"/>
    <col min="2691" max="2691" width="12.85546875" style="5" customWidth="1"/>
    <col min="2692" max="2692" width="11.7109375" style="5" customWidth="1"/>
    <col min="2693" max="2693" width="12.7109375" style="5" customWidth="1"/>
    <col min="2694" max="2694" width="11.7109375" style="5" customWidth="1"/>
    <col min="2695" max="2695" width="13" style="5" customWidth="1"/>
    <col min="2696" max="2707" width="11.7109375" style="5" customWidth="1"/>
    <col min="2708" max="2708" width="12.5703125" style="5" customWidth="1"/>
    <col min="2709" max="2709" width="11.7109375" style="5" customWidth="1"/>
    <col min="2710" max="2710" width="13" style="5" customWidth="1"/>
    <col min="2711" max="2716" width="11.7109375" style="5" customWidth="1"/>
    <col min="2717" max="2717" width="13.7109375" style="5" customWidth="1"/>
    <col min="2718" max="2718" width="13.140625" style="5" customWidth="1"/>
    <col min="2719" max="2722" width="13" style="5" customWidth="1"/>
    <col min="2723" max="2729" width="11.7109375" style="5" customWidth="1"/>
    <col min="2730" max="2730" width="10.85546875" style="5" customWidth="1"/>
    <col min="2731" max="2731" width="11.7109375" style="5" customWidth="1"/>
    <col min="2732" max="2734" width="22.7109375" style="5" customWidth="1"/>
    <col min="2735" max="2737" width="20.7109375" style="5" customWidth="1"/>
    <col min="2738" max="2925" width="8.85546875" style="5"/>
    <col min="2926" max="2926" width="6.140625" style="5" customWidth="1"/>
    <col min="2927" max="2927" width="20.28515625" style="5" customWidth="1"/>
    <col min="2928" max="2928" width="12.42578125" style="5" customWidth="1"/>
    <col min="2929" max="2929" width="13" style="5" customWidth="1"/>
    <col min="2930" max="2930" width="12.5703125" style="5" customWidth="1"/>
    <col min="2931" max="2944" width="11.7109375" style="5" customWidth="1"/>
    <col min="2945" max="2945" width="12.28515625" style="5" customWidth="1"/>
    <col min="2946" max="2946" width="11.7109375" style="5" customWidth="1"/>
    <col min="2947" max="2947" width="12.85546875" style="5" customWidth="1"/>
    <col min="2948" max="2948" width="11.7109375" style="5" customWidth="1"/>
    <col min="2949" max="2949" width="12.7109375" style="5" customWidth="1"/>
    <col min="2950" max="2950" width="11.7109375" style="5" customWidth="1"/>
    <col min="2951" max="2951" width="13" style="5" customWidth="1"/>
    <col min="2952" max="2963" width="11.7109375" style="5" customWidth="1"/>
    <col min="2964" max="2964" width="12.5703125" style="5" customWidth="1"/>
    <col min="2965" max="2965" width="11.7109375" style="5" customWidth="1"/>
    <col min="2966" max="2966" width="13" style="5" customWidth="1"/>
    <col min="2967" max="2972" width="11.7109375" style="5" customWidth="1"/>
    <col min="2973" max="2973" width="13.7109375" style="5" customWidth="1"/>
    <col min="2974" max="2974" width="13.140625" style="5" customWidth="1"/>
    <col min="2975" max="2978" width="13" style="5" customWidth="1"/>
    <col min="2979" max="2985" width="11.7109375" style="5" customWidth="1"/>
    <col min="2986" max="2986" width="10.85546875" style="5" customWidth="1"/>
    <col min="2987" max="2987" width="11.7109375" style="5" customWidth="1"/>
    <col min="2988" max="2990" width="22.7109375" style="5" customWidth="1"/>
    <col min="2991" max="2993" width="20.7109375" style="5" customWidth="1"/>
    <col min="2994" max="3181" width="8.85546875" style="5"/>
    <col min="3182" max="3182" width="6.140625" style="5" customWidth="1"/>
    <col min="3183" max="3183" width="20.28515625" style="5" customWidth="1"/>
    <col min="3184" max="3184" width="12.42578125" style="5" customWidth="1"/>
    <col min="3185" max="3185" width="13" style="5" customWidth="1"/>
    <col min="3186" max="3186" width="12.5703125" style="5" customWidth="1"/>
    <col min="3187" max="3200" width="11.7109375" style="5" customWidth="1"/>
    <col min="3201" max="3201" width="12.28515625" style="5" customWidth="1"/>
    <col min="3202" max="3202" width="11.7109375" style="5" customWidth="1"/>
    <col min="3203" max="3203" width="12.85546875" style="5" customWidth="1"/>
    <col min="3204" max="3204" width="11.7109375" style="5" customWidth="1"/>
    <col min="3205" max="3205" width="12.7109375" style="5" customWidth="1"/>
    <col min="3206" max="3206" width="11.7109375" style="5" customWidth="1"/>
    <col min="3207" max="3207" width="13" style="5" customWidth="1"/>
    <col min="3208" max="3219" width="11.7109375" style="5" customWidth="1"/>
    <col min="3220" max="3220" width="12.5703125" style="5" customWidth="1"/>
    <col min="3221" max="3221" width="11.7109375" style="5" customWidth="1"/>
    <col min="3222" max="3222" width="13" style="5" customWidth="1"/>
    <col min="3223" max="3228" width="11.7109375" style="5" customWidth="1"/>
    <col min="3229" max="3229" width="13.7109375" style="5" customWidth="1"/>
    <col min="3230" max="3230" width="13.140625" style="5" customWidth="1"/>
    <col min="3231" max="3234" width="13" style="5" customWidth="1"/>
    <col min="3235" max="3241" width="11.7109375" style="5" customWidth="1"/>
    <col min="3242" max="3242" width="10.85546875" style="5" customWidth="1"/>
    <col min="3243" max="3243" width="11.7109375" style="5" customWidth="1"/>
    <col min="3244" max="3246" width="22.7109375" style="5" customWidth="1"/>
    <col min="3247" max="3249" width="20.7109375" style="5" customWidth="1"/>
    <col min="3250" max="3437" width="8.85546875" style="5"/>
    <col min="3438" max="3438" width="6.140625" style="5" customWidth="1"/>
    <col min="3439" max="3439" width="20.28515625" style="5" customWidth="1"/>
    <col min="3440" max="3440" width="12.42578125" style="5" customWidth="1"/>
    <col min="3441" max="3441" width="13" style="5" customWidth="1"/>
    <col min="3442" max="3442" width="12.5703125" style="5" customWidth="1"/>
    <col min="3443" max="3456" width="11.7109375" style="5" customWidth="1"/>
    <col min="3457" max="3457" width="12.28515625" style="5" customWidth="1"/>
    <col min="3458" max="3458" width="11.7109375" style="5" customWidth="1"/>
    <col min="3459" max="3459" width="12.85546875" style="5" customWidth="1"/>
    <col min="3460" max="3460" width="11.7109375" style="5" customWidth="1"/>
    <col min="3461" max="3461" width="12.7109375" style="5" customWidth="1"/>
    <col min="3462" max="3462" width="11.7109375" style="5" customWidth="1"/>
    <col min="3463" max="3463" width="13" style="5" customWidth="1"/>
    <col min="3464" max="3475" width="11.7109375" style="5" customWidth="1"/>
    <col min="3476" max="3476" width="12.5703125" style="5" customWidth="1"/>
    <col min="3477" max="3477" width="11.7109375" style="5" customWidth="1"/>
    <col min="3478" max="3478" width="13" style="5" customWidth="1"/>
    <col min="3479" max="3484" width="11.7109375" style="5" customWidth="1"/>
    <col min="3485" max="3485" width="13.7109375" style="5" customWidth="1"/>
    <col min="3486" max="3486" width="13.140625" style="5" customWidth="1"/>
    <col min="3487" max="3490" width="13" style="5" customWidth="1"/>
    <col min="3491" max="3497" width="11.7109375" style="5" customWidth="1"/>
    <col min="3498" max="3498" width="10.85546875" style="5" customWidth="1"/>
    <col min="3499" max="3499" width="11.7109375" style="5" customWidth="1"/>
    <col min="3500" max="3502" width="22.7109375" style="5" customWidth="1"/>
    <col min="3503" max="3505" width="20.7109375" style="5" customWidth="1"/>
    <col min="3506" max="3693" width="8.85546875" style="5"/>
    <col min="3694" max="3694" width="6.140625" style="5" customWidth="1"/>
    <col min="3695" max="3695" width="20.28515625" style="5" customWidth="1"/>
    <col min="3696" max="3696" width="12.42578125" style="5" customWidth="1"/>
    <col min="3697" max="3697" width="13" style="5" customWidth="1"/>
    <col min="3698" max="3698" width="12.5703125" style="5" customWidth="1"/>
    <col min="3699" max="3712" width="11.7109375" style="5" customWidth="1"/>
    <col min="3713" max="3713" width="12.28515625" style="5" customWidth="1"/>
    <col min="3714" max="3714" width="11.7109375" style="5" customWidth="1"/>
    <col min="3715" max="3715" width="12.85546875" style="5" customWidth="1"/>
    <col min="3716" max="3716" width="11.7109375" style="5" customWidth="1"/>
    <col min="3717" max="3717" width="12.7109375" style="5" customWidth="1"/>
    <col min="3718" max="3718" width="11.7109375" style="5" customWidth="1"/>
    <col min="3719" max="3719" width="13" style="5" customWidth="1"/>
    <col min="3720" max="3731" width="11.7109375" style="5" customWidth="1"/>
    <col min="3732" max="3732" width="12.5703125" style="5" customWidth="1"/>
    <col min="3733" max="3733" width="11.7109375" style="5" customWidth="1"/>
    <col min="3734" max="3734" width="13" style="5" customWidth="1"/>
    <col min="3735" max="3740" width="11.7109375" style="5" customWidth="1"/>
    <col min="3741" max="3741" width="13.7109375" style="5" customWidth="1"/>
    <col min="3742" max="3742" width="13.140625" style="5" customWidth="1"/>
    <col min="3743" max="3746" width="13" style="5" customWidth="1"/>
    <col min="3747" max="3753" width="11.7109375" style="5" customWidth="1"/>
    <col min="3754" max="3754" width="10.85546875" style="5" customWidth="1"/>
    <col min="3755" max="3755" width="11.7109375" style="5" customWidth="1"/>
    <col min="3756" max="3758" width="22.7109375" style="5" customWidth="1"/>
    <col min="3759" max="3761" width="20.7109375" style="5" customWidth="1"/>
    <col min="3762" max="3949" width="8.85546875" style="5"/>
    <col min="3950" max="3950" width="6.140625" style="5" customWidth="1"/>
    <col min="3951" max="3951" width="20.28515625" style="5" customWidth="1"/>
    <col min="3952" max="3952" width="12.42578125" style="5" customWidth="1"/>
    <col min="3953" max="3953" width="13" style="5" customWidth="1"/>
    <col min="3954" max="3954" width="12.5703125" style="5" customWidth="1"/>
    <col min="3955" max="3968" width="11.7109375" style="5" customWidth="1"/>
    <col min="3969" max="3969" width="12.28515625" style="5" customWidth="1"/>
    <col min="3970" max="3970" width="11.7109375" style="5" customWidth="1"/>
    <col min="3971" max="3971" width="12.85546875" style="5" customWidth="1"/>
    <col min="3972" max="3972" width="11.7109375" style="5" customWidth="1"/>
    <col min="3973" max="3973" width="12.7109375" style="5" customWidth="1"/>
    <col min="3974" max="3974" width="11.7109375" style="5" customWidth="1"/>
    <col min="3975" max="3975" width="13" style="5" customWidth="1"/>
    <col min="3976" max="3987" width="11.7109375" style="5" customWidth="1"/>
    <col min="3988" max="3988" width="12.5703125" style="5" customWidth="1"/>
    <col min="3989" max="3989" width="11.7109375" style="5" customWidth="1"/>
    <col min="3990" max="3990" width="13" style="5" customWidth="1"/>
    <col min="3991" max="3996" width="11.7109375" style="5" customWidth="1"/>
    <col min="3997" max="3997" width="13.7109375" style="5" customWidth="1"/>
    <col min="3998" max="3998" width="13.140625" style="5" customWidth="1"/>
    <col min="3999" max="4002" width="13" style="5" customWidth="1"/>
    <col min="4003" max="4009" width="11.7109375" style="5" customWidth="1"/>
    <col min="4010" max="4010" width="10.85546875" style="5" customWidth="1"/>
    <col min="4011" max="4011" width="11.7109375" style="5" customWidth="1"/>
    <col min="4012" max="4014" width="22.7109375" style="5" customWidth="1"/>
    <col min="4015" max="4017" width="20.7109375" style="5" customWidth="1"/>
    <col min="4018" max="4205" width="8.85546875" style="5"/>
    <col min="4206" max="4206" width="6.140625" style="5" customWidth="1"/>
    <col min="4207" max="4207" width="20.28515625" style="5" customWidth="1"/>
    <col min="4208" max="4208" width="12.42578125" style="5" customWidth="1"/>
    <col min="4209" max="4209" width="13" style="5" customWidth="1"/>
    <col min="4210" max="4210" width="12.5703125" style="5" customWidth="1"/>
    <col min="4211" max="4224" width="11.7109375" style="5" customWidth="1"/>
    <col min="4225" max="4225" width="12.28515625" style="5" customWidth="1"/>
    <col min="4226" max="4226" width="11.7109375" style="5" customWidth="1"/>
    <col min="4227" max="4227" width="12.85546875" style="5" customWidth="1"/>
    <col min="4228" max="4228" width="11.7109375" style="5" customWidth="1"/>
    <col min="4229" max="4229" width="12.7109375" style="5" customWidth="1"/>
    <col min="4230" max="4230" width="11.7109375" style="5" customWidth="1"/>
    <col min="4231" max="4231" width="13" style="5" customWidth="1"/>
    <col min="4232" max="4243" width="11.7109375" style="5" customWidth="1"/>
    <col min="4244" max="4244" width="12.5703125" style="5" customWidth="1"/>
    <col min="4245" max="4245" width="11.7109375" style="5" customWidth="1"/>
    <col min="4246" max="4246" width="13" style="5" customWidth="1"/>
    <col min="4247" max="4252" width="11.7109375" style="5" customWidth="1"/>
    <col min="4253" max="4253" width="13.7109375" style="5" customWidth="1"/>
    <col min="4254" max="4254" width="13.140625" style="5" customWidth="1"/>
    <col min="4255" max="4258" width="13" style="5" customWidth="1"/>
    <col min="4259" max="4265" width="11.7109375" style="5" customWidth="1"/>
    <col min="4266" max="4266" width="10.85546875" style="5" customWidth="1"/>
    <col min="4267" max="4267" width="11.7109375" style="5" customWidth="1"/>
    <col min="4268" max="4270" width="22.7109375" style="5" customWidth="1"/>
    <col min="4271" max="4273" width="20.7109375" style="5" customWidth="1"/>
    <col min="4274" max="4461" width="8.85546875" style="5"/>
    <col min="4462" max="4462" width="6.140625" style="5" customWidth="1"/>
    <col min="4463" max="4463" width="20.28515625" style="5" customWidth="1"/>
    <col min="4464" max="4464" width="12.42578125" style="5" customWidth="1"/>
    <col min="4465" max="4465" width="13" style="5" customWidth="1"/>
    <col min="4466" max="4466" width="12.5703125" style="5" customWidth="1"/>
    <col min="4467" max="4480" width="11.7109375" style="5" customWidth="1"/>
    <col min="4481" max="4481" width="12.28515625" style="5" customWidth="1"/>
    <col min="4482" max="4482" width="11.7109375" style="5" customWidth="1"/>
    <col min="4483" max="4483" width="12.85546875" style="5" customWidth="1"/>
    <col min="4484" max="4484" width="11.7109375" style="5" customWidth="1"/>
    <col min="4485" max="4485" width="12.7109375" style="5" customWidth="1"/>
    <col min="4486" max="4486" width="11.7109375" style="5" customWidth="1"/>
    <col min="4487" max="4487" width="13" style="5" customWidth="1"/>
    <col min="4488" max="4499" width="11.7109375" style="5" customWidth="1"/>
    <col min="4500" max="4500" width="12.5703125" style="5" customWidth="1"/>
    <col min="4501" max="4501" width="11.7109375" style="5" customWidth="1"/>
    <col min="4502" max="4502" width="13" style="5" customWidth="1"/>
    <col min="4503" max="4508" width="11.7109375" style="5" customWidth="1"/>
    <col min="4509" max="4509" width="13.7109375" style="5" customWidth="1"/>
    <col min="4510" max="4510" width="13.140625" style="5" customWidth="1"/>
    <col min="4511" max="4514" width="13" style="5" customWidth="1"/>
    <col min="4515" max="4521" width="11.7109375" style="5" customWidth="1"/>
    <col min="4522" max="4522" width="10.85546875" style="5" customWidth="1"/>
    <col min="4523" max="4523" width="11.7109375" style="5" customWidth="1"/>
    <col min="4524" max="4526" width="22.7109375" style="5" customWidth="1"/>
    <col min="4527" max="4529" width="20.7109375" style="5" customWidth="1"/>
    <col min="4530" max="4717" width="8.85546875" style="5"/>
    <col min="4718" max="4718" width="6.140625" style="5" customWidth="1"/>
    <col min="4719" max="4719" width="20.28515625" style="5" customWidth="1"/>
    <col min="4720" max="4720" width="12.42578125" style="5" customWidth="1"/>
    <col min="4721" max="4721" width="13" style="5" customWidth="1"/>
    <col min="4722" max="4722" width="12.5703125" style="5" customWidth="1"/>
    <col min="4723" max="4736" width="11.7109375" style="5" customWidth="1"/>
    <col min="4737" max="4737" width="12.28515625" style="5" customWidth="1"/>
    <col min="4738" max="4738" width="11.7109375" style="5" customWidth="1"/>
    <col min="4739" max="4739" width="12.85546875" style="5" customWidth="1"/>
    <col min="4740" max="4740" width="11.7109375" style="5" customWidth="1"/>
    <col min="4741" max="4741" width="12.7109375" style="5" customWidth="1"/>
    <col min="4742" max="4742" width="11.7109375" style="5" customWidth="1"/>
    <col min="4743" max="4743" width="13" style="5" customWidth="1"/>
    <col min="4744" max="4755" width="11.7109375" style="5" customWidth="1"/>
    <col min="4756" max="4756" width="12.5703125" style="5" customWidth="1"/>
    <col min="4757" max="4757" width="11.7109375" style="5" customWidth="1"/>
    <col min="4758" max="4758" width="13" style="5" customWidth="1"/>
    <col min="4759" max="4764" width="11.7109375" style="5" customWidth="1"/>
    <col min="4765" max="4765" width="13.7109375" style="5" customWidth="1"/>
    <col min="4766" max="4766" width="13.140625" style="5" customWidth="1"/>
    <col min="4767" max="4770" width="13" style="5" customWidth="1"/>
    <col min="4771" max="4777" width="11.7109375" style="5" customWidth="1"/>
    <col min="4778" max="4778" width="10.85546875" style="5" customWidth="1"/>
    <col min="4779" max="4779" width="11.7109375" style="5" customWidth="1"/>
    <col min="4780" max="4782" width="22.7109375" style="5" customWidth="1"/>
    <col min="4783" max="4785" width="20.7109375" style="5" customWidth="1"/>
    <col min="4786" max="4973" width="8.85546875" style="5"/>
    <col min="4974" max="4974" width="6.140625" style="5" customWidth="1"/>
    <col min="4975" max="4975" width="20.28515625" style="5" customWidth="1"/>
    <col min="4976" max="4976" width="12.42578125" style="5" customWidth="1"/>
    <col min="4977" max="4977" width="13" style="5" customWidth="1"/>
    <col min="4978" max="4978" width="12.5703125" style="5" customWidth="1"/>
    <col min="4979" max="4992" width="11.7109375" style="5" customWidth="1"/>
    <col min="4993" max="4993" width="12.28515625" style="5" customWidth="1"/>
    <col min="4994" max="4994" width="11.7109375" style="5" customWidth="1"/>
    <col min="4995" max="4995" width="12.85546875" style="5" customWidth="1"/>
    <col min="4996" max="4996" width="11.7109375" style="5" customWidth="1"/>
    <col min="4997" max="4997" width="12.7109375" style="5" customWidth="1"/>
    <col min="4998" max="4998" width="11.7109375" style="5" customWidth="1"/>
    <col min="4999" max="4999" width="13" style="5" customWidth="1"/>
    <col min="5000" max="5011" width="11.7109375" style="5" customWidth="1"/>
    <col min="5012" max="5012" width="12.5703125" style="5" customWidth="1"/>
    <col min="5013" max="5013" width="11.7109375" style="5" customWidth="1"/>
    <col min="5014" max="5014" width="13" style="5" customWidth="1"/>
    <col min="5015" max="5020" width="11.7109375" style="5" customWidth="1"/>
    <col min="5021" max="5021" width="13.7109375" style="5" customWidth="1"/>
    <col min="5022" max="5022" width="13.140625" style="5" customWidth="1"/>
    <col min="5023" max="5026" width="13" style="5" customWidth="1"/>
    <col min="5027" max="5033" width="11.7109375" style="5" customWidth="1"/>
    <col min="5034" max="5034" width="10.85546875" style="5" customWidth="1"/>
    <col min="5035" max="5035" width="11.7109375" style="5" customWidth="1"/>
    <col min="5036" max="5038" width="22.7109375" style="5" customWidth="1"/>
    <col min="5039" max="5041" width="20.7109375" style="5" customWidth="1"/>
    <col min="5042" max="5229" width="8.85546875" style="5"/>
    <col min="5230" max="5230" width="6.140625" style="5" customWidth="1"/>
    <col min="5231" max="5231" width="20.28515625" style="5" customWidth="1"/>
    <col min="5232" max="5232" width="12.42578125" style="5" customWidth="1"/>
    <col min="5233" max="5233" width="13" style="5" customWidth="1"/>
    <col min="5234" max="5234" width="12.5703125" style="5" customWidth="1"/>
    <col min="5235" max="5248" width="11.7109375" style="5" customWidth="1"/>
    <col min="5249" max="5249" width="12.28515625" style="5" customWidth="1"/>
    <col min="5250" max="5250" width="11.7109375" style="5" customWidth="1"/>
    <col min="5251" max="5251" width="12.85546875" style="5" customWidth="1"/>
    <col min="5252" max="5252" width="11.7109375" style="5" customWidth="1"/>
    <col min="5253" max="5253" width="12.7109375" style="5" customWidth="1"/>
    <col min="5254" max="5254" width="11.7109375" style="5" customWidth="1"/>
    <col min="5255" max="5255" width="13" style="5" customWidth="1"/>
    <col min="5256" max="5267" width="11.7109375" style="5" customWidth="1"/>
    <col min="5268" max="5268" width="12.5703125" style="5" customWidth="1"/>
    <col min="5269" max="5269" width="11.7109375" style="5" customWidth="1"/>
    <col min="5270" max="5270" width="13" style="5" customWidth="1"/>
    <col min="5271" max="5276" width="11.7109375" style="5" customWidth="1"/>
    <col min="5277" max="5277" width="13.7109375" style="5" customWidth="1"/>
    <col min="5278" max="5278" width="13.140625" style="5" customWidth="1"/>
    <col min="5279" max="5282" width="13" style="5" customWidth="1"/>
    <col min="5283" max="5289" width="11.7109375" style="5" customWidth="1"/>
    <col min="5290" max="5290" width="10.85546875" style="5" customWidth="1"/>
    <col min="5291" max="5291" width="11.7109375" style="5" customWidth="1"/>
    <col min="5292" max="5294" width="22.7109375" style="5" customWidth="1"/>
    <col min="5295" max="5297" width="20.7109375" style="5" customWidth="1"/>
    <col min="5298" max="5485" width="8.85546875" style="5"/>
    <col min="5486" max="5486" width="6.140625" style="5" customWidth="1"/>
    <col min="5487" max="5487" width="20.28515625" style="5" customWidth="1"/>
    <col min="5488" max="5488" width="12.42578125" style="5" customWidth="1"/>
    <col min="5489" max="5489" width="13" style="5" customWidth="1"/>
    <col min="5490" max="5490" width="12.5703125" style="5" customWidth="1"/>
    <col min="5491" max="5504" width="11.7109375" style="5" customWidth="1"/>
    <col min="5505" max="5505" width="12.28515625" style="5" customWidth="1"/>
    <col min="5506" max="5506" width="11.7109375" style="5" customWidth="1"/>
    <col min="5507" max="5507" width="12.85546875" style="5" customWidth="1"/>
    <col min="5508" max="5508" width="11.7109375" style="5" customWidth="1"/>
    <col min="5509" max="5509" width="12.7109375" style="5" customWidth="1"/>
    <col min="5510" max="5510" width="11.7109375" style="5" customWidth="1"/>
    <col min="5511" max="5511" width="13" style="5" customWidth="1"/>
    <col min="5512" max="5523" width="11.7109375" style="5" customWidth="1"/>
    <col min="5524" max="5524" width="12.5703125" style="5" customWidth="1"/>
    <col min="5525" max="5525" width="11.7109375" style="5" customWidth="1"/>
    <col min="5526" max="5526" width="13" style="5" customWidth="1"/>
    <col min="5527" max="5532" width="11.7109375" style="5" customWidth="1"/>
    <col min="5533" max="5533" width="13.7109375" style="5" customWidth="1"/>
    <col min="5534" max="5534" width="13.140625" style="5" customWidth="1"/>
    <col min="5535" max="5538" width="13" style="5" customWidth="1"/>
    <col min="5539" max="5545" width="11.7109375" style="5" customWidth="1"/>
    <col min="5546" max="5546" width="10.85546875" style="5" customWidth="1"/>
    <col min="5547" max="5547" width="11.7109375" style="5" customWidth="1"/>
    <col min="5548" max="5550" width="22.7109375" style="5" customWidth="1"/>
    <col min="5551" max="5553" width="20.7109375" style="5" customWidth="1"/>
    <col min="5554" max="5741" width="8.85546875" style="5"/>
    <col min="5742" max="5742" width="6.140625" style="5" customWidth="1"/>
    <col min="5743" max="5743" width="20.28515625" style="5" customWidth="1"/>
    <col min="5744" max="5744" width="12.42578125" style="5" customWidth="1"/>
    <col min="5745" max="5745" width="13" style="5" customWidth="1"/>
    <col min="5746" max="5746" width="12.5703125" style="5" customWidth="1"/>
    <col min="5747" max="5760" width="11.7109375" style="5" customWidth="1"/>
    <col min="5761" max="5761" width="12.28515625" style="5" customWidth="1"/>
    <col min="5762" max="5762" width="11.7109375" style="5" customWidth="1"/>
    <col min="5763" max="5763" width="12.85546875" style="5" customWidth="1"/>
    <col min="5764" max="5764" width="11.7109375" style="5" customWidth="1"/>
    <col min="5765" max="5765" width="12.7109375" style="5" customWidth="1"/>
    <col min="5766" max="5766" width="11.7109375" style="5" customWidth="1"/>
    <col min="5767" max="5767" width="13" style="5" customWidth="1"/>
    <col min="5768" max="5779" width="11.7109375" style="5" customWidth="1"/>
    <col min="5780" max="5780" width="12.5703125" style="5" customWidth="1"/>
    <col min="5781" max="5781" width="11.7109375" style="5" customWidth="1"/>
    <col min="5782" max="5782" width="13" style="5" customWidth="1"/>
    <col min="5783" max="5788" width="11.7109375" style="5" customWidth="1"/>
    <col min="5789" max="5789" width="13.7109375" style="5" customWidth="1"/>
    <col min="5790" max="5790" width="13.140625" style="5" customWidth="1"/>
    <col min="5791" max="5794" width="13" style="5" customWidth="1"/>
    <col min="5795" max="5801" width="11.7109375" style="5" customWidth="1"/>
    <col min="5802" max="5802" width="10.85546875" style="5" customWidth="1"/>
    <col min="5803" max="5803" width="11.7109375" style="5" customWidth="1"/>
    <col min="5804" max="5806" width="22.7109375" style="5" customWidth="1"/>
    <col min="5807" max="5809" width="20.7109375" style="5" customWidth="1"/>
    <col min="5810" max="5997" width="8.85546875" style="5"/>
    <col min="5998" max="5998" width="6.140625" style="5" customWidth="1"/>
    <col min="5999" max="5999" width="20.28515625" style="5" customWidth="1"/>
    <col min="6000" max="6000" width="12.42578125" style="5" customWidth="1"/>
    <col min="6001" max="6001" width="13" style="5" customWidth="1"/>
    <col min="6002" max="6002" width="12.5703125" style="5" customWidth="1"/>
    <col min="6003" max="6016" width="11.7109375" style="5" customWidth="1"/>
    <col min="6017" max="6017" width="12.28515625" style="5" customWidth="1"/>
    <col min="6018" max="6018" width="11.7109375" style="5" customWidth="1"/>
    <col min="6019" max="6019" width="12.85546875" style="5" customWidth="1"/>
    <col min="6020" max="6020" width="11.7109375" style="5" customWidth="1"/>
    <col min="6021" max="6021" width="12.7109375" style="5" customWidth="1"/>
    <col min="6022" max="6022" width="11.7109375" style="5" customWidth="1"/>
    <col min="6023" max="6023" width="13" style="5" customWidth="1"/>
    <col min="6024" max="6035" width="11.7109375" style="5" customWidth="1"/>
    <col min="6036" max="6036" width="12.5703125" style="5" customWidth="1"/>
    <col min="6037" max="6037" width="11.7109375" style="5" customWidth="1"/>
    <col min="6038" max="6038" width="13" style="5" customWidth="1"/>
    <col min="6039" max="6044" width="11.7109375" style="5" customWidth="1"/>
    <col min="6045" max="6045" width="13.7109375" style="5" customWidth="1"/>
    <col min="6046" max="6046" width="13.140625" style="5" customWidth="1"/>
    <col min="6047" max="6050" width="13" style="5" customWidth="1"/>
    <col min="6051" max="6057" width="11.7109375" style="5" customWidth="1"/>
    <col min="6058" max="6058" width="10.85546875" style="5" customWidth="1"/>
    <col min="6059" max="6059" width="11.7109375" style="5" customWidth="1"/>
    <col min="6060" max="6062" width="22.7109375" style="5" customWidth="1"/>
    <col min="6063" max="6065" width="20.7109375" style="5" customWidth="1"/>
    <col min="6066" max="6253" width="8.85546875" style="5"/>
    <col min="6254" max="6254" width="6.140625" style="5" customWidth="1"/>
    <col min="6255" max="6255" width="20.28515625" style="5" customWidth="1"/>
    <col min="6256" max="6256" width="12.42578125" style="5" customWidth="1"/>
    <col min="6257" max="6257" width="13" style="5" customWidth="1"/>
    <col min="6258" max="6258" width="12.5703125" style="5" customWidth="1"/>
    <col min="6259" max="6272" width="11.7109375" style="5" customWidth="1"/>
    <col min="6273" max="6273" width="12.28515625" style="5" customWidth="1"/>
    <col min="6274" max="6274" width="11.7109375" style="5" customWidth="1"/>
    <col min="6275" max="6275" width="12.85546875" style="5" customWidth="1"/>
    <col min="6276" max="6276" width="11.7109375" style="5" customWidth="1"/>
    <col min="6277" max="6277" width="12.7109375" style="5" customWidth="1"/>
    <col min="6278" max="6278" width="11.7109375" style="5" customWidth="1"/>
    <col min="6279" max="6279" width="13" style="5" customWidth="1"/>
    <col min="6280" max="6291" width="11.7109375" style="5" customWidth="1"/>
    <col min="6292" max="6292" width="12.5703125" style="5" customWidth="1"/>
    <col min="6293" max="6293" width="11.7109375" style="5" customWidth="1"/>
    <col min="6294" max="6294" width="13" style="5" customWidth="1"/>
    <col min="6295" max="6300" width="11.7109375" style="5" customWidth="1"/>
    <col min="6301" max="6301" width="13.7109375" style="5" customWidth="1"/>
    <col min="6302" max="6302" width="13.140625" style="5" customWidth="1"/>
    <col min="6303" max="6306" width="13" style="5" customWidth="1"/>
    <col min="6307" max="6313" width="11.7109375" style="5" customWidth="1"/>
    <col min="6314" max="6314" width="10.85546875" style="5" customWidth="1"/>
    <col min="6315" max="6315" width="11.7109375" style="5" customWidth="1"/>
    <col min="6316" max="6318" width="22.7109375" style="5" customWidth="1"/>
    <col min="6319" max="6321" width="20.7109375" style="5" customWidth="1"/>
    <col min="6322" max="6509" width="8.85546875" style="5"/>
    <col min="6510" max="6510" width="6.140625" style="5" customWidth="1"/>
    <col min="6511" max="6511" width="20.28515625" style="5" customWidth="1"/>
    <col min="6512" max="6512" width="12.42578125" style="5" customWidth="1"/>
    <col min="6513" max="6513" width="13" style="5" customWidth="1"/>
    <col min="6514" max="6514" width="12.5703125" style="5" customWidth="1"/>
    <col min="6515" max="6528" width="11.7109375" style="5" customWidth="1"/>
    <col min="6529" max="6529" width="12.28515625" style="5" customWidth="1"/>
    <col min="6530" max="6530" width="11.7109375" style="5" customWidth="1"/>
    <col min="6531" max="6531" width="12.85546875" style="5" customWidth="1"/>
    <col min="6532" max="6532" width="11.7109375" style="5" customWidth="1"/>
    <col min="6533" max="6533" width="12.7109375" style="5" customWidth="1"/>
    <col min="6534" max="6534" width="11.7109375" style="5" customWidth="1"/>
    <col min="6535" max="6535" width="13" style="5" customWidth="1"/>
    <col min="6536" max="6547" width="11.7109375" style="5" customWidth="1"/>
    <col min="6548" max="6548" width="12.5703125" style="5" customWidth="1"/>
    <col min="6549" max="6549" width="11.7109375" style="5" customWidth="1"/>
    <col min="6550" max="6550" width="13" style="5" customWidth="1"/>
    <col min="6551" max="6556" width="11.7109375" style="5" customWidth="1"/>
    <col min="6557" max="6557" width="13.7109375" style="5" customWidth="1"/>
    <col min="6558" max="6558" width="13.140625" style="5" customWidth="1"/>
    <col min="6559" max="6562" width="13" style="5" customWidth="1"/>
    <col min="6563" max="6569" width="11.7109375" style="5" customWidth="1"/>
    <col min="6570" max="6570" width="10.85546875" style="5" customWidth="1"/>
    <col min="6571" max="6571" width="11.7109375" style="5" customWidth="1"/>
    <col min="6572" max="6574" width="22.7109375" style="5" customWidth="1"/>
    <col min="6575" max="6577" width="20.7109375" style="5" customWidth="1"/>
    <col min="6578" max="6765" width="8.85546875" style="5"/>
    <col min="6766" max="6766" width="6.140625" style="5" customWidth="1"/>
    <col min="6767" max="6767" width="20.28515625" style="5" customWidth="1"/>
    <col min="6768" max="6768" width="12.42578125" style="5" customWidth="1"/>
    <col min="6769" max="6769" width="13" style="5" customWidth="1"/>
    <col min="6770" max="6770" width="12.5703125" style="5" customWidth="1"/>
    <col min="6771" max="6784" width="11.7109375" style="5" customWidth="1"/>
    <col min="6785" max="6785" width="12.28515625" style="5" customWidth="1"/>
    <col min="6786" max="6786" width="11.7109375" style="5" customWidth="1"/>
    <col min="6787" max="6787" width="12.85546875" style="5" customWidth="1"/>
    <col min="6788" max="6788" width="11.7109375" style="5" customWidth="1"/>
    <col min="6789" max="6789" width="12.7109375" style="5" customWidth="1"/>
    <col min="6790" max="6790" width="11.7109375" style="5" customWidth="1"/>
    <col min="6791" max="6791" width="13" style="5" customWidth="1"/>
    <col min="6792" max="6803" width="11.7109375" style="5" customWidth="1"/>
    <col min="6804" max="6804" width="12.5703125" style="5" customWidth="1"/>
    <col min="6805" max="6805" width="11.7109375" style="5" customWidth="1"/>
    <col min="6806" max="6806" width="13" style="5" customWidth="1"/>
    <col min="6807" max="6812" width="11.7109375" style="5" customWidth="1"/>
    <col min="6813" max="6813" width="13.7109375" style="5" customWidth="1"/>
    <col min="6814" max="6814" width="13.140625" style="5" customWidth="1"/>
    <col min="6815" max="6818" width="13" style="5" customWidth="1"/>
    <col min="6819" max="6825" width="11.7109375" style="5" customWidth="1"/>
    <col min="6826" max="6826" width="10.85546875" style="5" customWidth="1"/>
    <col min="6827" max="6827" width="11.7109375" style="5" customWidth="1"/>
    <col min="6828" max="6830" width="22.7109375" style="5" customWidth="1"/>
    <col min="6831" max="6833" width="20.7109375" style="5" customWidth="1"/>
    <col min="6834" max="7021" width="8.85546875" style="5"/>
    <col min="7022" max="7022" width="6.140625" style="5" customWidth="1"/>
    <col min="7023" max="7023" width="20.28515625" style="5" customWidth="1"/>
    <col min="7024" max="7024" width="12.42578125" style="5" customWidth="1"/>
    <col min="7025" max="7025" width="13" style="5" customWidth="1"/>
    <col min="7026" max="7026" width="12.5703125" style="5" customWidth="1"/>
    <col min="7027" max="7040" width="11.7109375" style="5" customWidth="1"/>
    <col min="7041" max="7041" width="12.28515625" style="5" customWidth="1"/>
    <col min="7042" max="7042" width="11.7109375" style="5" customWidth="1"/>
    <col min="7043" max="7043" width="12.85546875" style="5" customWidth="1"/>
    <col min="7044" max="7044" width="11.7109375" style="5" customWidth="1"/>
    <col min="7045" max="7045" width="12.7109375" style="5" customWidth="1"/>
    <col min="7046" max="7046" width="11.7109375" style="5" customWidth="1"/>
    <col min="7047" max="7047" width="13" style="5" customWidth="1"/>
    <col min="7048" max="7059" width="11.7109375" style="5" customWidth="1"/>
    <col min="7060" max="7060" width="12.5703125" style="5" customWidth="1"/>
    <col min="7061" max="7061" width="11.7109375" style="5" customWidth="1"/>
    <col min="7062" max="7062" width="13" style="5" customWidth="1"/>
    <col min="7063" max="7068" width="11.7109375" style="5" customWidth="1"/>
    <col min="7069" max="7069" width="13.7109375" style="5" customWidth="1"/>
    <col min="7070" max="7070" width="13.140625" style="5" customWidth="1"/>
    <col min="7071" max="7074" width="13" style="5" customWidth="1"/>
    <col min="7075" max="7081" width="11.7109375" style="5" customWidth="1"/>
    <col min="7082" max="7082" width="10.85546875" style="5" customWidth="1"/>
    <col min="7083" max="7083" width="11.7109375" style="5" customWidth="1"/>
    <col min="7084" max="7086" width="22.7109375" style="5" customWidth="1"/>
    <col min="7087" max="7089" width="20.7109375" style="5" customWidth="1"/>
    <col min="7090" max="7277" width="8.85546875" style="5"/>
    <col min="7278" max="7278" width="6.140625" style="5" customWidth="1"/>
    <col min="7279" max="7279" width="20.28515625" style="5" customWidth="1"/>
    <col min="7280" max="7280" width="12.42578125" style="5" customWidth="1"/>
    <col min="7281" max="7281" width="13" style="5" customWidth="1"/>
    <col min="7282" max="7282" width="12.5703125" style="5" customWidth="1"/>
    <col min="7283" max="7296" width="11.7109375" style="5" customWidth="1"/>
    <col min="7297" max="7297" width="12.28515625" style="5" customWidth="1"/>
    <col min="7298" max="7298" width="11.7109375" style="5" customWidth="1"/>
    <col min="7299" max="7299" width="12.85546875" style="5" customWidth="1"/>
    <col min="7300" max="7300" width="11.7109375" style="5" customWidth="1"/>
    <col min="7301" max="7301" width="12.7109375" style="5" customWidth="1"/>
    <col min="7302" max="7302" width="11.7109375" style="5" customWidth="1"/>
    <col min="7303" max="7303" width="13" style="5" customWidth="1"/>
    <col min="7304" max="7315" width="11.7109375" style="5" customWidth="1"/>
    <col min="7316" max="7316" width="12.5703125" style="5" customWidth="1"/>
    <col min="7317" max="7317" width="11.7109375" style="5" customWidth="1"/>
    <col min="7318" max="7318" width="13" style="5" customWidth="1"/>
    <col min="7319" max="7324" width="11.7109375" style="5" customWidth="1"/>
    <col min="7325" max="7325" width="13.7109375" style="5" customWidth="1"/>
    <col min="7326" max="7326" width="13.140625" style="5" customWidth="1"/>
    <col min="7327" max="7330" width="13" style="5" customWidth="1"/>
    <col min="7331" max="7337" width="11.7109375" style="5" customWidth="1"/>
    <col min="7338" max="7338" width="10.85546875" style="5" customWidth="1"/>
    <col min="7339" max="7339" width="11.7109375" style="5" customWidth="1"/>
    <col min="7340" max="7342" width="22.7109375" style="5" customWidth="1"/>
    <col min="7343" max="7345" width="20.7109375" style="5" customWidth="1"/>
    <col min="7346" max="7533" width="8.85546875" style="5"/>
    <col min="7534" max="7534" width="6.140625" style="5" customWidth="1"/>
    <col min="7535" max="7535" width="20.28515625" style="5" customWidth="1"/>
    <col min="7536" max="7536" width="12.42578125" style="5" customWidth="1"/>
    <col min="7537" max="7537" width="13" style="5" customWidth="1"/>
    <col min="7538" max="7538" width="12.5703125" style="5" customWidth="1"/>
    <col min="7539" max="7552" width="11.7109375" style="5" customWidth="1"/>
    <col min="7553" max="7553" width="12.28515625" style="5" customWidth="1"/>
    <col min="7554" max="7554" width="11.7109375" style="5" customWidth="1"/>
    <col min="7555" max="7555" width="12.85546875" style="5" customWidth="1"/>
    <col min="7556" max="7556" width="11.7109375" style="5" customWidth="1"/>
    <col min="7557" max="7557" width="12.7109375" style="5" customWidth="1"/>
    <col min="7558" max="7558" width="11.7109375" style="5" customWidth="1"/>
    <col min="7559" max="7559" width="13" style="5" customWidth="1"/>
    <col min="7560" max="7571" width="11.7109375" style="5" customWidth="1"/>
    <col min="7572" max="7572" width="12.5703125" style="5" customWidth="1"/>
    <col min="7573" max="7573" width="11.7109375" style="5" customWidth="1"/>
    <col min="7574" max="7574" width="13" style="5" customWidth="1"/>
    <col min="7575" max="7580" width="11.7109375" style="5" customWidth="1"/>
    <col min="7581" max="7581" width="13.7109375" style="5" customWidth="1"/>
    <col min="7582" max="7582" width="13.140625" style="5" customWidth="1"/>
    <col min="7583" max="7586" width="13" style="5" customWidth="1"/>
    <col min="7587" max="7593" width="11.7109375" style="5" customWidth="1"/>
    <col min="7594" max="7594" width="10.85546875" style="5" customWidth="1"/>
    <col min="7595" max="7595" width="11.7109375" style="5" customWidth="1"/>
    <col min="7596" max="7598" width="22.7109375" style="5" customWidth="1"/>
    <col min="7599" max="7601" width="20.7109375" style="5" customWidth="1"/>
    <col min="7602" max="7789" width="8.85546875" style="5"/>
    <col min="7790" max="7790" width="6.140625" style="5" customWidth="1"/>
    <col min="7791" max="7791" width="20.28515625" style="5" customWidth="1"/>
    <col min="7792" max="7792" width="12.42578125" style="5" customWidth="1"/>
    <col min="7793" max="7793" width="13" style="5" customWidth="1"/>
    <col min="7794" max="7794" width="12.5703125" style="5" customWidth="1"/>
    <col min="7795" max="7808" width="11.7109375" style="5" customWidth="1"/>
    <col min="7809" max="7809" width="12.28515625" style="5" customWidth="1"/>
    <col min="7810" max="7810" width="11.7109375" style="5" customWidth="1"/>
    <col min="7811" max="7811" width="12.85546875" style="5" customWidth="1"/>
    <col min="7812" max="7812" width="11.7109375" style="5" customWidth="1"/>
    <col min="7813" max="7813" width="12.7109375" style="5" customWidth="1"/>
    <col min="7814" max="7814" width="11.7109375" style="5" customWidth="1"/>
    <col min="7815" max="7815" width="13" style="5" customWidth="1"/>
    <col min="7816" max="7827" width="11.7109375" style="5" customWidth="1"/>
    <col min="7828" max="7828" width="12.5703125" style="5" customWidth="1"/>
    <col min="7829" max="7829" width="11.7109375" style="5" customWidth="1"/>
    <col min="7830" max="7830" width="13" style="5" customWidth="1"/>
    <col min="7831" max="7836" width="11.7109375" style="5" customWidth="1"/>
    <col min="7837" max="7837" width="13.7109375" style="5" customWidth="1"/>
    <col min="7838" max="7838" width="13.140625" style="5" customWidth="1"/>
    <col min="7839" max="7842" width="13" style="5" customWidth="1"/>
    <col min="7843" max="7849" width="11.7109375" style="5" customWidth="1"/>
    <col min="7850" max="7850" width="10.85546875" style="5" customWidth="1"/>
    <col min="7851" max="7851" width="11.7109375" style="5" customWidth="1"/>
    <col min="7852" max="7854" width="22.7109375" style="5" customWidth="1"/>
    <col min="7855" max="7857" width="20.7109375" style="5" customWidth="1"/>
    <col min="7858" max="8045" width="8.85546875" style="5"/>
    <col min="8046" max="8046" width="6.140625" style="5" customWidth="1"/>
    <col min="8047" max="8047" width="20.28515625" style="5" customWidth="1"/>
    <col min="8048" max="8048" width="12.42578125" style="5" customWidth="1"/>
    <col min="8049" max="8049" width="13" style="5" customWidth="1"/>
    <col min="8050" max="8050" width="12.5703125" style="5" customWidth="1"/>
    <col min="8051" max="8064" width="11.7109375" style="5" customWidth="1"/>
    <col min="8065" max="8065" width="12.28515625" style="5" customWidth="1"/>
    <col min="8066" max="8066" width="11.7109375" style="5" customWidth="1"/>
    <col min="8067" max="8067" width="12.85546875" style="5" customWidth="1"/>
    <col min="8068" max="8068" width="11.7109375" style="5" customWidth="1"/>
    <col min="8069" max="8069" width="12.7109375" style="5" customWidth="1"/>
    <col min="8070" max="8070" width="11.7109375" style="5" customWidth="1"/>
    <col min="8071" max="8071" width="13" style="5" customWidth="1"/>
    <col min="8072" max="8083" width="11.7109375" style="5" customWidth="1"/>
    <col min="8084" max="8084" width="12.5703125" style="5" customWidth="1"/>
    <col min="8085" max="8085" width="11.7109375" style="5" customWidth="1"/>
    <col min="8086" max="8086" width="13" style="5" customWidth="1"/>
    <col min="8087" max="8092" width="11.7109375" style="5" customWidth="1"/>
    <col min="8093" max="8093" width="13.7109375" style="5" customWidth="1"/>
    <col min="8094" max="8094" width="13.140625" style="5" customWidth="1"/>
    <col min="8095" max="8098" width="13" style="5" customWidth="1"/>
    <col min="8099" max="8105" width="11.7109375" style="5" customWidth="1"/>
    <col min="8106" max="8106" width="10.85546875" style="5" customWidth="1"/>
    <col min="8107" max="8107" width="11.7109375" style="5" customWidth="1"/>
    <col min="8108" max="8110" width="22.7109375" style="5" customWidth="1"/>
    <col min="8111" max="8113" width="20.7109375" style="5" customWidth="1"/>
    <col min="8114" max="8301" width="8.85546875" style="5"/>
    <col min="8302" max="8302" width="6.140625" style="5" customWidth="1"/>
    <col min="8303" max="8303" width="20.28515625" style="5" customWidth="1"/>
    <col min="8304" max="8304" width="12.42578125" style="5" customWidth="1"/>
    <col min="8305" max="8305" width="13" style="5" customWidth="1"/>
    <col min="8306" max="8306" width="12.5703125" style="5" customWidth="1"/>
    <col min="8307" max="8320" width="11.7109375" style="5" customWidth="1"/>
    <col min="8321" max="8321" width="12.28515625" style="5" customWidth="1"/>
    <col min="8322" max="8322" width="11.7109375" style="5" customWidth="1"/>
    <col min="8323" max="8323" width="12.85546875" style="5" customWidth="1"/>
    <col min="8324" max="8324" width="11.7109375" style="5" customWidth="1"/>
    <col min="8325" max="8325" width="12.7109375" style="5" customWidth="1"/>
    <col min="8326" max="8326" width="11.7109375" style="5" customWidth="1"/>
    <col min="8327" max="8327" width="13" style="5" customWidth="1"/>
    <col min="8328" max="8339" width="11.7109375" style="5" customWidth="1"/>
    <col min="8340" max="8340" width="12.5703125" style="5" customWidth="1"/>
    <col min="8341" max="8341" width="11.7109375" style="5" customWidth="1"/>
    <col min="8342" max="8342" width="13" style="5" customWidth="1"/>
    <col min="8343" max="8348" width="11.7109375" style="5" customWidth="1"/>
    <col min="8349" max="8349" width="13.7109375" style="5" customWidth="1"/>
    <col min="8350" max="8350" width="13.140625" style="5" customWidth="1"/>
    <col min="8351" max="8354" width="13" style="5" customWidth="1"/>
    <col min="8355" max="8361" width="11.7109375" style="5" customWidth="1"/>
    <col min="8362" max="8362" width="10.85546875" style="5" customWidth="1"/>
    <col min="8363" max="8363" width="11.7109375" style="5" customWidth="1"/>
    <col min="8364" max="8366" width="22.7109375" style="5" customWidth="1"/>
    <col min="8367" max="8369" width="20.7109375" style="5" customWidth="1"/>
    <col min="8370" max="8557" width="8.85546875" style="5"/>
    <col min="8558" max="8558" width="6.140625" style="5" customWidth="1"/>
    <col min="8559" max="8559" width="20.28515625" style="5" customWidth="1"/>
    <col min="8560" max="8560" width="12.42578125" style="5" customWidth="1"/>
    <col min="8561" max="8561" width="13" style="5" customWidth="1"/>
    <col min="8562" max="8562" width="12.5703125" style="5" customWidth="1"/>
    <col min="8563" max="8576" width="11.7109375" style="5" customWidth="1"/>
    <col min="8577" max="8577" width="12.28515625" style="5" customWidth="1"/>
    <col min="8578" max="8578" width="11.7109375" style="5" customWidth="1"/>
    <col min="8579" max="8579" width="12.85546875" style="5" customWidth="1"/>
    <col min="8580" max="8580" width="11.7109375" style="5" customWidth="1"/>
    <col min="8581" max="8581" width="12.7109375" style="5" customWidth="1"/>
    <col min="8582" max="8582" width="11.7109375" style="5" customWidth="1"/>
    <col min="8583" max="8583" width="13" style="5" customWidth="1"/>
    <col min="8584" max="8595" width="11.7109375" style="5" customWidth="1"/>
    <col min="8596" max="8596" width="12.5703125" style="5" customWidth="1"/>
    <col min="8597" max="8597" width="11.7109375" style="5" customWidth="1"/>
    <col min="8598" max="8598" width="13" style="5" customWidth="1"/>
    <col min="8599" max="8604" width="11.7109375" style="5" customWidth="1"/>
    <col min="8605" max="8605" width="13.7109375" style="5" customWidth="1"/>
    <col min="8606" max="8606" width="13.140625" style="5" customWidth="1"/>
    <col min="8607" max="8610" width="13" style="5" customWidth="1"/>
    <col min="8611" max="8617" width="11.7109375" style="5" customWidth="1"/>
    <col min="8618" max="8618" width="10.85546875" style="5" customWidth="1"/>
    <col min="8619" max="8619" width="11.7109375" style="5" customWidth="1"/>
    <col min="8620" max="8622" width="22.7109375" style="5" customWidth="1"/>
    <col min="8623" max="8625" width="20.7109375" style="5" customWidth="1"/>
    <col min="8626" max="8813" width="8.85546875" style="5"/>
    <col min="8814" max="8814" width="6.140625" style="5" customWidth="1"/>
    <col min="8815" max="8815" width="20.28515625" style="5" customWidth="1"/>
    <col min="8816" max="8816" width="12.42578125" style="5" customWidth="1"/>
    <col min="8817" max="8817" width="13" style="5" customWidth="1"/>
    <col min="8818" max="8818" width="12.5703125" style="5" customWidth="1"/>
    <col min="8819" max="8832" width="11.7109375" style="5" customWidth="1"/>
    <col min="8833" max="8833" width="12.28515625" style="5" customWidth="1"/>
    <col min="8834" max="8834" width="11.7109375" style="5" customWidth="1"/>
    <col min="8835" max="8835" width="12.85546875" style="5" customWidth="1"/>
    <col min="8836" max="8836" width="11.7109375" style="5" customWidth="1"/>
    <col min="8837" max="8837" width="12.7109375" style="5" customWidth="1"/>
    <col min="8838" max="8838" width="11.7109375" style="5" customWidth="1"/>
    <col min="8839" max="8839" width="13" style="5" customWidth="1"/>
    <col min="8840" max="8851" width="11.7109375" style="5" customWidth="1"/>
    <col min="8852" max="8852" width="12.5703125" style="5" customWidth="1"/>
    <col min="8853" max="8853" width="11.7109375" style="5" customWidth="1"/>
    <col min="8854" max="8854" width="13" style="5" customWidth="1"/>
    <col min="8855" max="8860" width="11.7109375" style="5" customWidth="1"/>
    <col min="8861" max="8861" width="13.7109375" style="5" customWidth="1"/>
    <col min="8862" max="8862" width="13.140625" style="5" customWidth="1"/>
    <col min="8863" max="8866" width="13" style="5" customWidth="1"/>
    <col min="8867" max="8873" width="11.7109375" style="5" customWidth="1"/>
    <col min="8874" max="8874" width="10.85546875" style="5" customWidth="1"/>
    <col min="8875" max="8875" width="11.7109375" style="5" customWidth="1"/>
    <col min="8876" max="8878" width="22.7109375" style="5" customWidth="1"/>
    <col min="8879" max="8881" width="20.7109375" style="5" customWidth="1"/>
    <col min="8882" max="9069" width="8.85546875" style="5"/>
    <col min="9070" max="9070" width="6.140625" style="5" customWidth="1"/>
    <col min="9071" max="9071" width="20.28515625" style="5" customWidth="1"/>
    <col min="9072" max="9072" width="12.42578125" style="5" customWidth="1"/>
    <col min="9073" max="9073" width="13" style="5" customWidth="1"/>
    <col min="9074" max="9074" width="12.5703125" style="5" customWidth="1"/>
    <col min="9075" max="9088" width="11.7109375" style="5" customWidth="1"/>
    <col min="9089" max="9089" width="12.28515625" style="5" customWidth="1"/>
    <col min="9090" max="9090" width="11.7109375" style="5" customWidth="1"/>
    <col min="9091" max="9091" width="12.85546875" style="5" customWidth="1"/>
    <col min="9092" max="9092" width="11.7109375" style="5" customWidth="1"/>
    <col min="9093" max="9093" width="12.7109375" style="5" customWidth="1"/>
    <col min="9094" max="9094" width="11.7109375" style="5" customWidth="1"/>
    <col min="9095" max="9095" width="13" style="5" customWidth="1"/>
    <col min="9096" max="9107" width="11.7109375" style="5" customWidth="1"/>
    <col min="9108" max="9108" width="12.5703125" style="5" customWidth="1"/>
    <col min="9109" max="9109" width="11.7109375" style="5" customWidth="1"/>
    <col min="9110" max="9110" width="13" style="5" customWidth="1"/>
    <col min="9111" max="9116" width="11.7109375" style="5" customWidth="1"/>
    <col min="9117" max="9117" width="13.7109375" style="5" customWidth="1"/>
    <col min="9118" max="9118" width="13.140625" style="5" customWidth="1"/>
    <col min="9119" max="9122" width="13" style="5" customWidth="1"/>
    <col min="9123" max="9129" width="11.7109375" style="5" customWidth="1"/>
    <col min="9130" max="9130" width="10.85546875" style="5" customWidth="1"/>
    <col min="9131" max="9131" width="11.7109375" style="5" customWidth="1"/>
    <col min="9132" max="9134" width="22.7109375" style="5" customWidth="1"/>
    <col min="9135" max="9137" width="20.7109375" style="5" customWidth="1"/>
    <col min="9138" max="9325" width="8.85546875" style="5"/>
    <col min="9326" max="9326" width="6.140625" style="5" customWidth="1"/>
    <col min="9327" max="9327" width="20.28515625" style="5" customWidth="1"/>
    <col min="9328" max="9328" width="12.42578125" style="5" customWidth="1"/>
    <col min="9329" max="9329" width="13" style="5" customWidth="1"/>
    <col min="9330" max="9330" width="12.5703125" style="5" customWidth="1"/>
    <col min="9331" max="9344" width="11.7109375" style="5" customWidth="1"/>
    <col min="9345" max="9345" width="12.28515625" style="5" customWidth="1"/>
    <col min="9346" max="9346" width="11.7109375" style="5" customWidth="1"/>
    <col min="9347" max="9347" width="12.85546875" style="5" customWidth="1"/>
    <col min="9348" max="9348" width="11.7109375" style="5" customWidth="1"/>
    <col min="9349" max="9349" width="12.7109375" style="5" customWidth="1"/>
    <col min="9350" max="9350" width="11.7109375" style="5" customWidth="1"/>
    <col min="9351" max="9351" width="13" style="5" customWidth="1"/>
    <col min="9352" max="9363" width="11.7109375" style="5" customWidth="1"/>
    <col min="9364" max="9364" width="12.5703125" style="5" customWidth="1"/>
    <col min="9365" max="9365" width="11.7109375" style="5" customWidth="1"/>
    <col min="9366" max="9366" width="13" style="5" customWidth="1"/>
    <col min="9367" max="9372" width="11.7109375" style="5" customWidth="1"/>
    <col min="9373" max="9373" width="13.7109375" style="5" customWidth="1"/>
    <col min="9374" max="9374" width="13.140625" style="5" customWidth="1"/>
    <col min="9375" max="9378" width="13" style="5" customWidth="1"/>
    <col min="9379" max="9385" width="11.7109375" style="5" customWidth="1"/>
    <col min="9386" max="9386" width="10.85546875" style="5" customWidth="1"/>
    <col min="9387" max="9387" width="11.7109375" style="5" customWidth="1"/>
    <col min="9388" max="9390" width="22.7109375" style="5" customWidth="1"/>
    <col min="9391" max="9393" width="20.7109375" style="5" customWidth="1"/>
    <col min="9394" max="9581" width="8.85546875" style="5"/>
    <col min="9582" max="9582" width="6.140625" style="5" customWidth="1"/>
    <col min="9583" max="9583" width="20.28515625" style="5" customWidth="1"/>
    <col min="9584" max="9584" width="12.42578125" style="5" customWidth="1"/>
    <col min="9585" max="9585" width="13" style="5" customWidth="1"/>
    <col min="9586" max="9586" width="12.5703125" style="5" customWidth="1"/>
    <col min="9587" max="9600" width="11.7109375" style="5" customWidth="1"/>
    <col min="9601" max="9601" width="12.28515625" style="5" customWidth="1"/>
    <col min="9602" max="9602" width="11.7109375" style="5" customWidth="1"/>
    <col min="9603" max="9603" width="12.85546875" style="5" customWidth="1"/>
    <col min="9604" max="9604" width="11.7109375" style="5" customWidth="1"/>
    <col min="9605" max="9605" width="12.7109375" style="5" customWidth="1"/>
    <col min="9606" max="9606" width="11.7109375" style="5" customWidth="1"/>
    <col min="9607" max="9607" width="13" style="5" customWidth="1"/>
    <col min="9608" max="9619" width="11.7109375" style="5" customWidth="1"/>
    <col min="9620" max="9620" width="12.5703125" style="5" customWidth="1"/>
    <col min="9621" max="9621" width="11.7109375" style="5" customWidth="1"/>
    <col min="9622" max="9622" width="13" style="5" customWidth="1"/>
    <col min="9623" max="9628" width="11.7109375" style="5" customWidth="1"/>
    <col min="9629" max="9629" width="13.7109375" style="5" customWidth="1"/>
    <col min="9630" max="9630" width="13.140625" style="5" customWidth="1"/>
    <col min="9631" max="9634" width="13" style="5" customWidth="1"/>
    <col min="9635" max="9641" width="11.7109375" style="5" customWidth="1"/>
    <col min="9642" max="9642" width="10.85546875" style="5" customWidth="1"/>
    <col min="9643" max="9643" width="11.7109375" style="5" customWidth="1"/>
    <col min="9644" max="9646" width="22.7109375" style="5" customWidth="1"/>
    <col min="9647" max="9649" width="20.7109375" style="5" customWidth="1"/>
    <col min="9650" max="9837" width="8.85546875" style="5"/>
    <col min="9838" max="9838" width="6.140625" style="5" customWidth="1"/>
    <col min="9839" max="9839" width="20.28515625" style="5" customWidth="1"/>
    <col min="9840" max="9840" width="12.42578125" style="5" customWidth="1"/>
    <col min="9841" max="9841" width="13" style="5" customWidth="1"/>
    <col min="9842" max="9842" width="12.5703125" style="5" customWidth="1"/>
    <col min="9843" max="9856" width="11.7109375" style="5" customWidth="1"/>
    <col min="9857" max="9857" width="12.28515625" style="5" customWidth="1"/>
    <col min="9858" max="9858" width="11.7109375" style="5" customWidth="1"/>
    <col min="9859" max="9859" width="12.85546875" style="5" customWidth="1"/>
    <col min="9860" max="9860" width="11.7109375" style="5" customWidth="1"/>
    <col min="9861" max="9861" width="12.7109375" style="5" customWidth="1"/>
    <col min="9862" max="9862" width="11.7109375" style="5" customWidth="1"/>
    <col min="9863" max="9863" width="13" style="5" customWidth="1"/>
    <col min="9864" max="9875" width="11.7109375" style="5" customWidth="1"/>
    <col min="9876" max="9876" width="12.5703125" style="5" customWidth="1"/>
    <col min="9877" max="9877" width="11.7109375" style="5" customWidth="1"/>
    <col min="9878" max="9878" width="13" style="5" customWidth="1"/>
    <col min="9879" max="9884" width="11.7109375" style="5" customWidth="1"/>
    <col min="9885" max="9885" width="13.7109375" style="5" customWidth="1"/>
    <col min="9886" max="9886" width="13.140625" style="5" customWidth="1"/>
    <col min="9887" max="9890" width="13" style="5" customWidth="1"/>
    <col min="9891" max="9897" width="11.7109375" style="5" customWidth="1"/>
    <col min="9898" max="9898" width="10.85546875" style="5" customWidth="1"/>
    <col min="9899" max="9899" width="11.7109375" style="5" customWidth="1"/>
    <col min="9900" max="9902" width="22.7109375" style="5" customWidth="1"/>
    <col min="9903" max="9905" width="20.7109375" style="5" customWidth="1"/>
    <col min="9906" max="10093" width="8.85546875" style="5"/>
    <col min="10094" max="10094" width="6.140625" style="5" customWidth="1"/>
    <col min="10095" max="10095" width="20.28515625" style="5" customWidth="1"/>
    <col min="10096" max="10096" width="12.42578125" style="5" customWidth="1"/>
    <col min="10097" max="10097" width="13" style="5" customWidth="1"/>
    <col min="10098" max="10098" width="12.5703125" style="5" customWidth="1"/>
    <col min="10099" max="10112" width="11.7109375" style="5" customWidth="1"/>
    <col min="10113" max="10113" width="12.28515625" style="5" customWidth="1"/>
    <col min="10114" max="10114" width="11.7109375" style="5" customWidth="1"/>
    <col min="10115" max="10115" width="12.85546875" style="5" customWidth="1"/>
    <col min="10116" max="10116" width="11.7109375" style="5" customWidth="1"/>
    <col min="10117" max="10117" width="12.7109375" style="5" customWidth="1"/>
    <col min="10118" max="10118" width="11.7109375" style="5" customWidth="1"/>
    <col min="10119" max="10119" width="13" style="5" customWidth="1"/>
    <col min="10120" max="10131" width="11.7109375" style="5" customWidth="1"/>
    <col min="10132" max="10132" width="12.5703125" style="5" customWidth="1"/>
    <col min="10133" max="10133" width="11.7109375" style="5" customWidth="1"/>
    <col min="10134" max="10134" width="13" style="5" customWidth="1"/>
    <col min="10135" max="10140" width="11.7109375" style="5" customWidth="1"/>
    <col min="10141" max="10141" width="13.7109375" style="5" customWidth="1"/>
    <col min="10142" max="10142" width="13.140625" style="5" customWidth="1"/>
    <col min="10143" max="10146" width="13" style="5" customWidth="1"/>
    <col min="10147" max="10153" width="11.7109375" style="5" customWidth="1"/>
    <col min="10154" max="10154" width="10.85546875" style="5" customWidth="1"/>
    <col min="10155" max="10155" width="11.7109375" style="5" customWidth="1"/>
    <col min="10156" max="10158" width="22.7109375" style="5" customWidth="1"/>
    <col min="10159" max="10161" width="20.7109375" style="5" customWidth="1"/>
    <col min="10162" max="10349" width="8.85546875" style="5"/>
    <col min="10350" max="10350" width="6.140625" style="5" customWidth="1"/>
    <col min="10351" max="10351" width="20.28515625" style="5" customWidth="1"/>
    <col min="10352" max="10352" width="12.42578125" style="5" customWidth="1"/>
    <col min="10353" max="10353" width="13" style="5" customWidth="1"/>
    <col min="10354" max="10354" width="12.5703125" style="5" customWidth="1"/>
    <col min="10355" max="10368" width="11.7109375" style="5" customWidth="1"/>
    <col min="10369" max="10369" width="12.28515625" style="5" customWidth="1"/>
    <col min="10370" max="10370" width="11.7109375" style="5" customWidth="1"/>
    <col min="10371" max="10371" width="12.85546875" style="5" customWidth="1"/>
    <col min="10372" max="10372" width="11.7109375" style="5" customWidth="1"/>
    <col min="10373" max="10373" width="12.7109375" style="5" customWidth="1"/>
    <col min="10374" max="10374" width="11.7109375" style="5" customWidth="1"/>
    <col min="10375" max="10375" width="13" style="5" customWidth="1"/>
    <col min="10376" max="10387" width="11.7109375" style="5" customWidth="1"/>
    <col min="10388" max="10388" width="12.5703125" style="5" customWidth="1"/>
    <col min="10389" max="10389" width="11.7109375" style="5" customWidth="1"/>
    <col min="10390" max="10390" width="13" style="5" customWidth="1"/>
    <col min="10391" max="10396" width="11.7109375" style="5" customWidth="1"/>
    <col min="10397" max="10397" width="13.7109375" style="5" customWidth="1"/>
    <col min="10398" max="10398" width="13.140625" style="5" customWidth="1"/>
    <col min="10399" max="10402" width="13" style="5" customWidth="1"/>
    <col min="10403" max="10409" width="11.7109375" style="5" customWidth="1"/>
    <col min="10410" max="10410" width="10.85546875" style="5" customWidth="1"/>
    <col min="10411" max="10411" width="11.7109375" style="5" customWidth="1"/>
    <col min="10412" max="10414" width="22.7109375" style="5" customWidth="1"/>
    <col min="10415" max="10417" width="20.7109375" style="5" customWidth="1"/>
    <col min="10418" max="10605" width="8.85546875" style="5"/>
    <col min="10606" max="10606" width="6.140625" style="5" customWidth="1"/>
    <col min="10607" max="10607" width="20.28515625" style="5" customWidth="1"/>
    <col min="10608" max="10608" width="12.42578125" style="5" customWidth="1"/>
    <col min="10609" max="10609" width="13" style="5" customWidth="1"/>
    <col min="10610" max="10610" width="12.5703125" style="5" customWidth="1"/>
    <col min="10611" max="10624" width="11.7109375" style="5" customWidth="1"/>
    <col min="10625" max="10625" width="12.28515625" style="5" customWidth="1"/>
    <col min="10626" max="10626" width="11.7109375" style="5" customWidth="1"/>
    <col min="10627" max="10627" width="12.85546875" style="5" customWidth="1"/>
    <col min="10628" max="10628" width="11.7109375" style="5" customWidth="1"/>
    <col min="10629" max="10629" width="12.7109375" style="5" customWidth="1"/>
    <col min="10630" max="10630" width="11.7109375" style="5" customWidth="1"/>
    <col min="10631" max="10631" width="13" style="5" customWidth="1"/>
    <col min="10632" max="10643" width="11.7109375" style="5" customWidth="1"/>
    <col min="10644" max="10644" width="12.5703125" style="5" customWidth="1"/>
    <col min="10645" max="10645" width="11.7109375" style="5" customWidth="1"/>
    <col min="10646" max="10646" width="13" style="5" customWidth="1"/>
    <col min="10647" max="10652" width="11.7109375" style="5" customWidth="1"/>
    <col min="10653" max="10653" width="13.7109375" style="5" customWidth="1"/>
    <col min="10654" max="10654" width="13.140625" style="5" customWidth="1"/>
    <col min="10655" max="10658" width="13" style="5" customWidth="1"/>
    <col min="10659" max="10665" width="11.7109375" style="5" customWidth="1"/>
    <col min="10666" max="10666" width="10.85546875" style="5" customWidth="1"/>
    <col min="10667" max="10667" width="11.7109375" style="5" customWidth="1"/>
    <col min="10668" max="10670" width="22.7109375" style="5" customWidth="1"/>
    <col min="10671" max="10673" width="20.7109375" style="5" customWidth="1"/>
    <col min="10674" max="10861" width="8.85546875" style="5"/>
    <col min="10862" max="10862" width="6.140625" style="5" customWidth="1"/>
    <col min="10863" max="10863" width="20.28515625" style="5" customWidth="1"/>
    <col min="10864" max="10864" width="12.42578125" style="5" customWidth="1"/>
    <col min="10865" max="10865" width="13" style="5" customWidth="1"/>
    <col min="10866" max="10866" width="12.5703125" style="5" customWidth="1"/>
    <col min="10867" max="10880" width="11.7109375" style="5" customWidth="1"/>
    <col min="10881" max="10881" width="12.28515625" style="5" customWidth="1"/>
    <col min="10882" max="10882" width="11.7109375" style="5" customWidth="1"/>
    <col min="10883" max="10883" width="12.85546875" style="5" customWidth="1"/>
    <col min="10884" max="10884" width="11.7109375" style="5" customWidth="1"/>
    <col min="10885" max="10885" width="12.7109375" style="5" customWidth="1"/>
    <col min="10886" max="10886" width="11.7109375" style="5" customWidth="1"/>
    <col min="10887" max="10887" width="13" style="5" customWidth="1"/>
    <col min="10888" max="10899" width="11.7109375" style="5" customWidth="1"/>
    <col min="10900" max="10900" width="12.5703125" style="5" customWidth="1"/>
    <col min="10901" max="10901" width="11.7109375" style="5" customWidth="1"/>
    <col min="10902" max="10902" width="13" style="5" customWidth="1"/>
    <col min="10903" max="10908" width="11.7109375" style="5" customWidth="1"/>
    <col min="10909" max="10909" width="13.7109375" style="5" customWidth="1"/>
    <col min="10910" max="10910" width="13.140625" style="5" customWidth="1"/>
    <col min="10911" max="10914" width="13" style="5" customWidth="1"/>
    <col min="10915" max="10921" width="11.7109375" style="5" customWidth="1"/>
    <col min="10922" max="10922" width="10.85546875" style="5" customWidth="1"/>
    <col min="10923" max="10923" width="11.7109375" style="5" customWidth="1"/>
    <col min="10924" max="10926" width="22.7109375" style="5" customWidth="1"/>
    <col min="10927" max="10929" width="20.7109375" style="5" customWidth="1"/>
    <col min="10930" max="11117" width="8.85546875" style="5"/>
    <col min="11118" max="11118" width="6.140625" style="5" customWidth="1"/>
    <col min="11119" max="11119" width="20.28515625" style="5" customWidth="1"/>
    <col min="11120" max="11120" width="12.42578125" style="5" customWidth="1"/>
    <col min="11121" max="11121" width="13" style="5" customWidth="1"/>
    <col min="11122" max="11122" width="12.5703125" style="5" customWidth="1"/>
    <col min="11123" max="11136" width="11.7109375" style="5" customWidth="1"/>
    <col min="11137" max="11137" width="12.28515625" style="5" customWidth="1"/>
    <col min="11138" max="11138" width="11.7109375" style="5" customWidth="1"/>
    <col min="11139" max="11139" width="12.85546875" style="5" customWidth="1"/>
    <col min="11140" max="11140" width="11.7109375" style="5" customWidth="1"/>
    <col min="11141" max="11141" width="12.7109375" style="5" customWidth="1"/>
    <col min="11142" max="11142" width="11.7109375" style="5" customWidth="1"/>
    <col min="11143" max="11143" width="13" style="5" customWidth="1"/>
    <col min="11144" max="11155" width="11.7109375" style="5" customWidth="1"/>
    <col min="11156" max="11156" width="12.5703125" style="5" customWidth="1"/>
    <col min="11157" max="11157" width="11.7109375" style="5" customWidth="1"/>
    <col min="11158" max="11158" width="13" style="5" customWidth="1"/>
    <col min="11159" max="11164" width="11.7109375" style="5" customWidth="1"/>
    <col min="11165" max="11165" width="13.7109375" style="5" customWidth="1"/>
    <col min="11166" max="11166" width="13.140625" style="5" customWidth="1"/>
    <col min="11167" max="11170" width="13" style="5" customWidth="1"/>
    <col min="11171" max="11177" width="11.7109375" style="5" customWidth="1"/>
    <col min="11178" max="11178" width="10.85546875" style="5" customWidth="1"/>
    <col min="11179" max="11179" width="11.7109375" style="5" customWidth="1"/>
    <col min="11180" max="11182" width="22.7109375" style="5" customWidth="1"/>
    <col min="11183" max="11185" width="20.7109375" style="5" customWidth="1"/>
    <col min="11186" max="11373" width="8.85546875" style="5"/>
    <col min="11374" max="11374" width="6.140625" style="5" customWidth="1"/>
    <col min="11375" max="11375" width="20.28515625" style="5" customWidth="1"/>
    <col min="11376" max="11376" width="12.42578125" style="5" customWidth="1"/>
    <col min="11377" max="11377" width="13" style="5" customWidth="1"/>
    <col min="11378" max="11378" width="12.5703125" style="5" customWidth="1"/>
    <col min="11379" max="11392" width="11.7109375" style="5" customWidth="1"/>
    <col min="11393" max="11393" width="12.28515625" style="5" customWidth="1"/>
    <col min="11394" max="11394" width="11.7109375" style="5" customWidth="1"/>
    <col min="11395" max="11395" width="12.85546875" style="5" customWidth="1"/>
    <col min="11396" max="11396" width="11.7109375" style="5" customWidth="1"/>
    <col min="11397" max="11397" width="12.7109375" style="5" customWidth="1"/>
    <col min="11398" max="11398" width="11.7109375" style="5" customWidth="1"/>
    <col min="11399" max="11399" width="13" style="5" customWidth="1"/>
    <col min="11400" max="11411" width="11.7109375" style="5" customWidth="1"/>
    <col min="11412" max="11412" width="12.5703125" style="5" customWidth="1"/>
    <col min="11413" max="11413" width="11.7109375" style="5" customWidth="1"/>
    <col min="11414" max="11414" width="13" style="5" customWidth="1"/>
    <col min="11415" max="11420" width="11.7109375" style="5" customWidth="1"/>
    <col min="11421" max="11421" width="13.7109375" style="5" customWidth="1"/>
    <col min="11422" max="11422" width="13.140625" style="5" customWidth="1"/>
    <col min="11423" max="11426" width="13" style="5" customWidth="1"/>
    <col min="11427" max="11433" width="11.7109375" style="5" customWidth="1"/>
    <col min="11434" max="11434" width="10.85546875" style="5" customWidth="1"/>
    <col min="11435" max="11435" width="11.7109375" style="5" customWidth="1"/>
    <col min="11436" max="11438" width="22.7109375" style="5" customWidth="1"/>
    <col min="11439" max="11441" width="20.7109375" style="5" customWidth="1"/>
    <col min="11442" max="11629" width="8.85546875" style="5"/>
    <col min="11630" max="11630" width="6.140625" style="5" customWidth="1"/>
    <col min="11631" max="11631" width="20.28515625" style="5" customWidth="1"/>
    <col min="11632" max="11632" width="12.42578125" style="5" customWidth="1"/>
    <col min="11633" max="11633" width="13" style="5" customWidth="1"/>
    <col min="11634" max="11634" width="12.5703125" style="5" customWidth="1"/>
    <col min="11635" max="11648" width="11.7109375" style="5" customWidth="1"/>
    <col min="11649" max="11649" width="12.28515625" style="5" customWidth="1"/>
    <col min="11650" max="11650" width="11.7109375" style="5" customWidth="1"/>
    <col min="11651" max="11651" width="12.85546875" style="5" customWidth="1"/>
    <col min="11652" max="11652" width="11.7109375" style="5" customWidth="1"/>
    <col min="11653" max="11653" width="12.7109375" style="5" customWidth="1"/>
    <col min="11654" max="11654" width="11.7109375" style="5" customWidth="1"/>
    <col min="11655" max="11655" width="13" style="5" customWidth="1"/>
    <col min="11656" max="11667" width="11.7109375" style="5" customWidth="1"/>
    <col min="11668" max="11668" width="12.5703125" style="5" customWidth="1"/>
    <col min="11669" max="11669" width="11.7109375" style="5" customWidth="1"/>
    <col min="11670" max="11670" width="13" style="5" customWidth="1"/>
    <col min="11671" max="11676" width="11.7109375" style="5" customWidth="1"/>
    <col min="11677" max="11677" width="13.7109375" style="5" customWidth="1"/>
    <col min="11678" max="11678" width="13.140625" style="5" customWidth="1"/>
    <col min="11679" max="11682" width="13" style="5" customWidth="1"/>
    <col min="11683" max="11689" width="11.7109375" style="5" customWidth="1"/>
    <col min="11690" max="11690" width="10.85546875" style="5" customWidth="1"/>
    <col min="11691" max="11691" width="11.7109375" style="5" customWidth="1"/>
    <col min="11692" max="11694" width="22.7109375" style="5" customWidth="1"/>
    <col min="11695" max="11697" width="20.7109375" style="5" customWidth="1"/>
    <col min="11698" max="11885" width="8.85546875" style="5"/>
    <col min="11886" max="11886" width="6.140625" style="5" customWidth="1"/>
    <col min="11887" max="11887" width="20.28515625" style="5" customWidth="1"/>
    <col min="11888" max="11888" width="12.42578125" style="5" customWidth="1"/>
    <col min="11889" max="11889" width="13" style="5" customWidth="1"/>
    <col min="11890" max="11890" width="12.5703125" style="5" customWidth="1"/>
    <col min="11891" max="11904" width="11.7109375" style="5" customWidth="1"/>
    <col min="11905" max="11905" width="12.28515625" style="5" customWidth="1"/>
    <col min="11906" max="11906" width="11.7109375" style="5" customWidth="1"/>
    <col min="11907" max="11907" width="12.85546875" style="5" customWidth="1"/>
    <col min="11908" max="11908" width="11.7109375" style="5" customWidth="1"/>
    <col min="11909" max="11909" width="12.7109375" style="5" customWidth="1"/>
    <col min="11910" max="11910" width="11.7109375" style="5" customWidth="1"/>
    <col min="11911" max="11911" width="13" style="5" customWidth="1"/>
    <col min="11912" max="11923" width="11.7109375" style="5" customWidth="1"/>
    <col min="11924" max="11924" width="12.5703125" style="5" customWidth="1"/>
    <col min="11925" max="11925" width="11.7109375" style="5" customWidth="1"/>
    <col min="11926" max="11926" width="13" style="5" customWidth="1"/>
    <col min="11927" max="11932" width="11.7109375" style="5" customWidth="1"/>
    <col min="11933" max="11933" width="13.7109375" style="5" customWidth="1"/>
    <col min="11934" max="11934" width="13.140625" style="5" customWidth="1"/>
    <col min="11935" max="11938" width="13" style="5" customWidth="1"/>
    <col min="11939" max="11945" width="11.7109375" style="5" customWidth="1"/>
    <col min="11946" max="11946" width="10.85546875" style="5" customWidth="1"/>
    <col min="11947" max="11947" width="11.7109375" style="5" customWidth="1"/>
    <col min="11948" max="11950" width="22.7109375" style="5" customWidth="1"/>
    <col min="11951" max="11953" width="20.7109375" style="5" customWidth="1"/>
    <col min="11954" max="12141" width="8.85546875" style="5"/>
    <col min="12142" max="12142" width="6.140625" style="5" customWidth="1"/>
    <col min="12143" max="12143" width="20.28515625" style="5" customWidth="1"/>
    <col min="12144" max="12144" width="12.42578125" style="5" customWidth="1"/>
    <col min="12145" max="12145" width="13" style="5" customWidth="1"/>
    <col min="12146" max="12146" width="12.5703125" style="5" customWidth="1"/>
    <col min="12147" max="12160" width="11.7109375" style="5" customWidth="1"/>
    <col min="12161" max="12161" width="12.28515625" style="5" customWidth="1"/>
    <col min="12162" max="12162" width="11.7109375" style="5" customWidth="1"/>
    <col min="12163" max="12163" width="12.85546875" style="5" customWidth="1"/>
    <col min="12164" max="12164" width="11.7109375" style="5" customWidth="1"/>
    <col min="12165" max="12165" width="12.7109375" style="5" customWidth="1"/>
    <col min="12166" max="12166" width="11.7109375" style="5" customWidth="1"/>
    <col min="12167" max="12167" width="13" style="5" customWidth="1"/>
    <col min="12168" max="12179" width="11.7109375" style="5" customWidth="1"/>
    <col min="12180" max="12180" width="12.5703125" style="5" customWidth="1"/>
    <col min="12181" max="12181" width="11.7109375" style="5" customWidth="1"/>
    <col min="12182" max="12182" width="13" style="5" customWidth="1"/>
    <col min="12183" max="12188" width="11.7109375" style="5" customWidth="1"/>
    <col min="12189" max="12189" width="13.7109375" style="5" customWidth="1"/>
    <col min="12190" max="12190" width="13.140625" style="5" customWidth="1"/>
    <col min="12191" max="12194" width="13" style="5" customWidth="1"/>
    <col min="12195" max="12201" width="11.7109375" style="5" customWidth="1"/>
    <col min="12202" max="12202" width="10.85546875" style="5" customWidth="1"/>
    <col min="12203" max="12203" width="11.7109375" style="5" customWidth="1"/>
    <col min="12204" max="12206" width="22.7109375" style="5" customWidth="1"/>
    <col min="12207" max="12209" width="20.7109375" style="5" customWidth="1"/>
    <col min="12210" max="12397" width="8.85546875" style="5"/>
    <col min="12398" max="12398" width="6.140625" style="5" customWidth="1"/>
    <col min="12399" max="12399" width="20.28515625" style="5" customWidth="1"/>
    <col min="12400" max="12400" width="12.42578125" style="5" customWidth="1"/>
    <col min="12401" max="12401" width="13" style="5" customWidth="1"/>
    <col min="12402" max="12402" width="12.5703125" style="5" customWidth="1"/>
    <col min="12403" max="12416" width="11.7109375" style="5" customWidth="1"/>
    <col min="12417" max="12417" width="12.28515625" style="5" customWidth="1"/>
    <col min="12418" max="12418" width="11.7109375" style="5" customWidth="1"/>
    <col min="12419" max="12419" width="12.85546875" style="5" customWidth="1"/>
    <col min="12420" max="12420" width="11.7109375" style="5" customWidth="1"/>
    <col min="12421" max="12421" width="12.7109375" style="5" customWidth="1"/>
    <col min="12422" max="12422" width="11.7109375" style="5" customWidth="1"/>
    <col min="12423" max="12423" width="13" style="5" customWidth="1"/>
    <col min="12424" max="12435" width="11.7109375" style="5" customWidth="1"/>
    <col min="12436" max="12436" width="12.5703125" style="5" customWidth="1"/>
    <col min="12437" max="12437" width="11.7109375" style="5" customWidth="1"/>
    <col min="12438" max="12438" width="13" style="5" customWidth="1"/>
    <col min="12439" max="12444" width="11.7109375" style="5" customWidth="1"/>
    <col min="12445" max="12445" width="13.7109375" style="5" customWidth="1"/>
    <col min="12446" max="12446" width="13.140625" style="5" customWidth="1"/>
    <col min="12447" max="12450" width="13" style="5" customWidth="1"/>
    <col min="12451" max="12457" width="11.7109375" style="5" customWidth="1"/>
    <col min="12458" max="12458" width="10.85546875" style="5" customWidth="1"/>
    <col min="12459" max="12459" width="11.7109375" style="5" customWidth="1"/>
    <col min="12460" max="12462" width="22.7109375" style="5" customWidth="1"/>
    <col min="12463" max="12465" width="20.7109375" style="5" customWidth="1"/>
    <col min="12466" max="12653" width="8.85546875" style="5"/>
    <col min="12654" max="12654" width="6.140625" style="5" customWidth="1"/>
    <col min="12655" max="12655" width="20.28515625" style="5" customWidth="1"/>
    <col min="12656" max="12656" width="12.42578125" style="5" customWidth="1"/>
    <col min="12657" max="12657" width="13" style="5" customWidth="1"/>
    <col min="12658" max="12658" width="12.5703125" style="5" customWidth="1"/>
    <col min="12659" max="12672" width="11.7109375" style="5" customWidth="1"/>
    <col min="12673" max="12673" width="12.28515625" style="5" customWidth="1"/>
    <col min="12674" max="12674" width="11.7109375" style="5" customWidth="1"/>
    <col min="12675" max="12675" width="12.85546875" style="5" customWidth="1"/>
    <col min="12676" max="12676" width="11.7109375" style="5" customWidth="1"/>
    <col min="12677" max="12677" width="12.7109375" style="5" customWidth="1"/>
    <col min="12678" max="12678" width="11.7109375" style="5" customWidth="1"/>
    <col min="12679" max="12679" width="13" style="5" customWidth="1"/>
    <col min="12680" max="12691" width="11.7109375" style="5" customWidth="1"/>
    <col min="12692" max="12692" width="12.5703125" style="5" customWidth="1"/>
    <col min="12693" max="12693" width="11.7109375" style="5" customWidth="1"/>
    <col min="12694" max="12694" width="13" style="5" customWidth="1"/>
    <col min="12695" max="12700" width="11.7109375" style="5" customWidth="1"/>
    <col min="12701" max="12701" width="13.7109375" style="5" customWidth="1"/>
    <col min="12702" max="12702" width="13.140625" style="5" customWidth="1"/>
    <col min="12703" max="12706" width="13" style="5" customWidth="1"/>
    <col min="12707" max="12713" width="11.7109375" style="5" customWidth="1"/>
    <col min="12714" max="12714" width="10.85546875" style="5" customWidth="1"/>
    <col min="12715" max="12715" width="11.7109375" style="5" customWidth="1"/>
    <col min="12716" max="12718" width="22.7109375" style="5" customWidth="1"/>
    <col min="12719" max="12721" width="20.7109375" style="5" customWidth="1"/>
    <col min="12722" max="12909" width="8.85546875" style="5"/>
    <col min="12910" max="12910" width="6.140625" style="5" customWidth="1"/>
    <col min="12911" max="12911" width="20.28515625" style="5" customWidth="1"/>
    <col min="12912" max="12912" width="12.42578125" style="5" customWidth="1"/>
    <col min="12913" max="12913" width="13" style="5" customWidth="1"/>
    <col min="12914" max="12914" width="12.5703125" style="5" customWidth="1"/>
    <col min="12915" max="12928" width="11.7109375" style="5" customWidth="1"/>
    <col min="12929" max="12929" width="12.28515625" style="5" customWidth="1"/>
    <col min="12930" max="12930" width="11.7109375" style="5" customWidth="1"/>
    <col min="12931" max="12931" width="12.85546875" style="5" customWidth="1"/>
    <col min="12932" max="12932" width="11.7109375" style="5" customWidth="1"/>
    <col min="12933" max="12933" width="12.7109375" style="5" customWidth="1"/>
    <col min="12934" max="12934" width="11.7109375" style="5" customWidth="1"/>
    <col min="12935" max="12935" width="13" style="5" customWidth="1"/>
    <col min="12936" max="12947" width="11.7109375" style="5" customWidth="1"/>
    <col min="12948" max="12948" width="12.5703125" style="5" customWidth="1"/>
    <col min="12949" max="12949" width="11.7109375" style="5" customWidth="1"/>
    <col min="12950" max="12950" width="13" style="5" customWidth="1"/>
    <col min="12951" max="12956" width="11.7109375" style="5" customWidth="1"/>
    <col min="12957" max="12957" width="13.7109375" style="5" customWidth="1"/>
    <col min="12958" max="12958" width="13.140625" style="5" customWidth="1"/>
    <col min="12959" max="12962" width="13" style="5" customWidth="1"/>
    <col min="12963" max="12969" width="11.7109375" style="5" customWidth="1"/>
    <col min="12970" max="12970" width="10.85546875" style="5" customWidth="1"/>
    <col min="12971" max="12971" width="11.7109375" style="5" customWidth="1"/>
    <col min="12972" max="12974" width="22.7109375" style="5" customWidth="1"/>
    <col min="12975" max="12977" width="20.7109375" style="5" customWidth="1"/>
    <col min="12978" max="13165" width="8.85546875" style="5"/>
    <col min="13166" max="13166" width="6.140625" style="5" customWidth="1"/>
    <col min="13167" max="13167" width="20.28515625" style="5" customWidth="1"/>
    <col min="13168" max="13168" width="12.42578125" style="5" customWidth="1"/>
    <col min="13169" max="13169" width="13" style="5" customWidth="1"/>
    <col min="13170" max="13170" width="12.5703125" style="5" customWidth="1"/>
    <col min="13171" max="13184" width="11.7109375" style="5" customWidth="1"/>
    <col min="13185" max="13185" width="12.28515625" style="5" customWidth="1"/>
    <col min="13186" max="13186" width="11.7109375" style="5" customWidth="1"/>
    <col min="13187" max="13187" width="12.85546875" style="5" customWidth="1"/>
    <col min="13188" max="13188" width="11.7109375" style="5" customWidth="1"/>
    <col min="13189" max="13189" width="12.7109375" style="5" customWidth="1"/>
    <col min="13190" max="13190" width="11.7109375" style="5" customWidth="1"/>
    <col min="13191" max="13191" width="13" style="5" customWidth="1"/>
    <col min="13192" max="13203" width="11.7109375" style="5" customWidth="1"/>
    <col min="13204" max="13204" width="12.5703125" style="5" customWidth="1"/>
    <col min="13205" max="13205" width="11.7109375" style="5" customWidth="1"/>
    <col min="13206" max="13206" width="13" style="5" customWidth="1"/>
    <col min="13207" max="13212" width="11.7109375" style="5" customWidth="1"/>
    <col min="13213" max="13213" width="13.7109375" style="5" customWidth="1"/>
    <col min="13214" max="13214" width="13.140625" style="5" customWidth="1"/>
    <col min="13215" max="13218" width="13" style="5" customWidth="1"/>
    <col min="13219" max="13225" width="11.7109375" style="5" customWidth="1"/>
    <col min="13226" max="13226" width="10.85546875" style="5" customWidth="1"/>
    <col min="13227" max="13227" width="11.7109375" style="5" customWidth="1"/>
    <col min="13228" max="13230" width="22.7109375" style="5" customWidth="1"/>
    <col min="13231" max="13233" width="20.7109375" style="5" customWidth="1"/>
    <col min="13234" max="13421" width="8.85546875" style="5"/>
    <col min="13422" max="13422" width="6.140625" style="5" customWidth="1"/>
    <col min="13423" max="13423" width="20.28515625" style="5" customWidth="1"/>
    <col min="13424" max="13424" width="12.42578125" style="5" customWidth="1"/>
    <col min="13425" max="13425" width="13" style="5" customWidth="1"/>
    <col min="13426" max="13426" width="12.5703125" style="5" customWidth="1"/>
    <col min="13427" max="13440" width="11.7109375" style="5" customWidth="1"/>
    <col min="13441" max="13441" width="12.28515625" style="5" customWidth="1"/>
    <col min="13442" max="13442" width="11.7109375" style="5" customWidth="1"/>
    <col min="13443" max="13443" width="12.85546875" style="5" customWidth="1"/>
    <col min="13444" max="13444" width="11.7109375" style="5" customWidth="1"/>
    <col min="13445" max="13445" width="12.7109375" style="5" customWidth="1"/>
    <col min="13446" max="13446" width="11.7109375" style="5" customWidth="1"/>
    <col min="13447" max="13447" width="13" style="5" customWidth="1"/>
    <col min="13448" max="13459" width="11.7109375" style="5" customWidth="1"/>
    <col min="13460" max="13460" width="12.5703125" style="5" customWidth="1"/>
    <col min="13461" max="13461" width="11.7109375" style="5" customWidth="1"/>
    <col min="13462" max="13462" width="13" style="5" customWidth="1"/>
    <col min="13463" max="13468" width="11.7109375" style="5" customWidth="1"/>
    <col min="13469" max="13469" width="13.7109375" style="5" customWidth="1"/>
    <col min="13470" max="13470" width="13.140625" style="5" customWidth="1"/>
    <col min="13471" max="13474" width="13" style="5" customWidth="1"/>
    <col min="13475" max="13481" width="11.7109375" style="5" customWidth="1"/>
    <col min="13482" max="13482" width="10.85546875" style="5" customWidth="1"/>
    <col min="13483" max="13483" width="11.7109375" style="5" customWidth="1"/>
    <col min="13484" max="13486" width="22.7109375" style="5" customWidth="1"/>
    <col min="13487" max="13489" width="20.7109375" style="5" customWidth="1"/>
    <col min="13490" max="13677" width="8.85546875" style="5"/>
    <col min="13678" max="13678" width="6.140625" style="5" customWidth="1"/>
    <col min="13679" max="13679" width="20.28515625" style="5" customWidth="1"/>
    <col min="13680" max="13680" width="12.42578125" style="5" customWidth="1"/>
    <col min="13681" max="13681" width="13" style="5" customWidth="1"/>
    <col min="13682" max="13682" width="12.5703125" style="5" customWidth="1"/>
    <col min="13683" max="13696" width="11.7109375" style="5" customWidth="1"/>
    <col min="13697" max="13697" width="12.28515625" style="5" customWidth="1"/>
    <col min="13698" max="13698" width="11.7109375" style="5" customWidth="1"/>
    <col min="13699" max="13699" width="12.85546875" style="5" customWidth="1"/>
    <col min="13700" max="13700" width="11.7109375" style="5" customWidth="1"/>
    <col min="13701" max="13701" width="12.7109375" style="5" customWidth="1"/>
    <col min="13702" max="13702" width="11.7109375" style="5" customWidth="1"/>
    <col min="13703" max="13703" width="13" style="5" customWidth="1"/>
    <col min="13704" max="13715" width="11.7109375" style="5" customWidth="1"/>
    <col min="13716" max="13716" width="12.5703125" style="5" customWidth="1"/>
    <col min="13717" max="13717" width="11.7109375" style="5" customWidth="1"/>
    <col min="13718" max="13718" width="13" style="5" customWidth="1"/>
    <col min="13719" max="13724" width="11.7109375" style="5" customWidth="1"/>
    <col min="13725" max="13725" width="13.7109375" style="5" customWidth="1"/>
    <col min="13726" max="13726" width="13.140625" style="5" customWidth="1"/>
    <col min="13727" max="13730" width="13" style="5" customWidth="1"/>
    <col min="13731" max="13737" width="11.7109375" style="5" customWidth="1"/>
    <col min="13738" max="13738" width="10.85546875" style="5" customWidth="1"/>
    <col min="13739" max="13739" width="11.7109375" style="5" customWidth="1"/>
    <col min="13740" max="13742" width="22.7109375" style="5" customWidth="1"/>
    <col min="13743" max="13745" width="20.7109375" style="5" customWidth="1"/>
    <col min="13746" max="13933" width="8.85546875" style="5"/>
    <col min="13934" max="13934" width="6.140625" style="5" customWidth="1"/>
    <col min="13935" max="13935" width="20.28515625" style="5" customWidth="1"/>
    <col min="13936" max="13936" width="12.42578125" style="5" customWidth="1"/>
    <col min="13937" max="13937" width="13" style="5" customWidth="1"/>
    <col min="13938" max="13938" width="12.5703125" style="5" customWidth="1"/>
    <col min="13939" max="13952" width="11.7109375" style="5" customWidth="1"/>
    <col min="13953" max="13953" width="12.28515625" style="5" customWidth="1"/>
    <col min="13954" max="13954" width="11.7109375" style="5" customWidth="1"/>
    <col min="13955" max="13955" width="12.85546875" style="5" customWidth="1"/>
    <col min="13956" max="13956" width="11.7109375" style="5" customWidth="1"/>
    <col min="13957" max="13957" width="12.7109375" style="5" customWidth="1"/>
    <col min="13958" max="13958" width="11.7109375" style="5" customWidth="1"/>
    <col min="13959" max="13959" width="13" style="5" customWidth="1"/>
    <col min="13960" max="13971" width="11.7109375" style="5" customWidth="1"/>
    <col min="13972" max="13972" width="12.5703125" style="5" customWidth="1"/>
    <col min="13973" max="13973" width="11.7109375" style="5" customWidth="1"/>
    <col min="13974" max="13974" width="13" style="5" customWidth="1"/>
    <col min="13975" max="13980" width="11.7109375" style="5" customWidth="1"/>
    <col min="13981" max="13981" width="13.7109375" style="5" customWidth="1"/>
    <col min="13982" max="13982" width="13.140625" style="5" customWidth="1"/>
    <col min="13983" max="13986" width="13" style="5" customWidth="1"/>
    <col min="13987" max="13993" width="11.7109375" style="5" customWidth="1"/>
    <col min="13994" max="13994" width="10.85546875" style="5" customWidth="1"/>
    <col min="13995" max="13995" width="11.7109375" style="5" customWidth="1"/>
    <col min="13996" max="13998" width="22.7109375" style="5" customWidth="1"/>
    <col min="13999" max="14001" width="20.7109375" style="5" customWidth="1"/>
    <col min="14002" max="14189" width="8.85546875" style="5"/>
    <col min="14190" max="14190" width="6.140625" style="5" customWidth="1"/>
    <col min="14191" max="14191" width="20.28515625" style="5" customWidth="1"/>
    <col min="14192" max="14192" width="12.42578125" style="5" customWidth="1"/>
    <col min="14193" max="14193" width="13" style="5" customWidth="1"/>
    <col min="14194" max="14194" width="12.5703125" style="5" customWidth="1"/>
    <col min="14195" max="14208" width="11.7109375" style="5" customWidth="1"/>
    <col min="14209" max="14209" width="12.28515625" style="5" customWidth="1"/>
    <col min="14210" max="14210" width="11.7109375" style="5" customWidth="1"/>
    <col min="14211" max="14211" width="12.85546875" style="5" customWidth="1"/>
    <col min="14212" max="14212" width="11.7109375" style="5" customWidth="1"/>
    <col min="14213" max="14213" width="12.7109375" style="5" customWidth="1"/>
    <col min="14214" max="14214" width="11.7109375" style="5" customWidth="1"/>
    <col min="14215" max="14215" width="13" style="5" customWidth="1"/>
    <col min="14216" max="14227" width="11.7109375" style="5" customWidth="1"/>
    <col min="14228" max="14228" width="12.5703125" style="5" customWidth="1"/>
    <col min="14229" max="14229" width="11.7109375" style="5" customWidth="1"/>
    <col min="14230" max="14230" width="13" style="5" customWidth="1"/>
    <col min="14231" max="14236" width="11.7109375" style="5" customWidth="1"/>
    <col min="14237" max="14237" width="13.7109375" style="5" customWidth="1"/>
    <col min="14238" max="14238" width="13.140625" style="5" customWidth="1"/>
    <col min="14239" max="14242" width="13" style="5" customWidth="1"/>
    <col min="14243" max="14249" width="11.7109375" style="5" customWidth="1"/>
    <col min="14250" max="14250" width="10.85546875" style="5" customWidth="1"/>
    <col min="14251" max="14251" width="11.7109375" style="5" customWidth="1"/>
    <col min="14252" max="14254" width="22.7109375" style="5" customWidth="1"/>
    <col min="14255" max="14257" width="20.7109375" style="5" customWidth="1"/>
    <col min="14258" max="14445" width="8.85546875" style="5"/>
    <col min="14446" max="14446" width="6.140625" style="5" customWidth="1"/>
    <col min="14447" max="14447" width="20.28515625" style="5" customWidth="1"/>
    <col min="14448" max="14448" width="12.42578125" style="5" customWidth="1"/>
    <col min="14449" max="14449" width="13" style="5" customWidth="1"/>
    <col min="14450" max="14450" width="12.5703125" style="5" customWidth="1"/>
    <col min="14451" max="14464" width="11.7109375" style="5" customWidth="1"/>
    <col min="14465" max="14465" width="12.28515625" style="5" customWidth="1"/>
    <col min="14466" max="14466" width="11.7109375" style="5" customWidth="1"/>
    <col min="14467" max="14467" width="12.85546875" style="5" customWidth="1"/>
    <col min="14468" max="14468" width="11.7109375" style="5" customWidth="1"/>
    <col min="14469" max="14469" width="12.7109375" style="5" customWidth="1"/>
    <col min="14470" max="14470" width="11.7109375" style="5" customWidth="1"/>
    <col min="14471" max="14471" width="13" style="5" customWidth="1"/>
    <col min="14472" max="14483" width="11.7109375" style="5" customWidth="1"/>
    <col min="14484" max="14484" width="12.5703125" style="5" customWidth="1"/>
    <col min="14485" max="14485" width="11.7109375" style="5" customWidth="1"/>
    <col min="14486" max="14486" width="13" style="5" customWidth="1"/>
    <col min="14487" max="14492" width="11.7109375" style="5" customWidth="1"/>
    <col min="14493" max="14493" width="13.7109375" style="5" customWidth="1"/>
    <col min="14494" max="14494" width="13.140625" style="5" customWidth="1"/>
    <col min="14495" max="14498" width="13" style="5" customWidth="1"/>
    <col min="14499" max="14505" width="11.7109375" style="5" customWidth="1"/>
    <col min="14506" max="14506" width="10.85546875" style="5" customWidth="1"/>
    <col min="14507" max="14507" width="11.7109375" style="5" customWidth="1"/>
    <col min="14508" max="14510" width="22.7109375" style="5" customWidth="1"/>
    <col min="14511" max="14513" width="20.7109375" style="5" customWidth="1"/>
    <col min="14514" max="14701" width="8.85546875" style="5"/>
    <col min="14702" max="14702" width="6.140625" style="5" customWidth="1"/>
    <col min="14703" max="14703" width="20.28515625" style="5" customWidth="1"/>
    <col min="14704" max="14704" width="12.42578125" style="5" customWidth="1"/>
    <col min="14705" max="14705" width="13" style="5" customWidth="1"/>
    <col min="14706" max="14706" width="12.5703125" style="5" customWidth="1"/>
    <col min="14707" max="14720" width="11.7109375" style="5" customWidth="1"/>
    <col min="14721" max="14721" width="12.28515625" style="5" customWidth="1"/>
    <col min="14722" max="14722" width="11.7109375" style="5" customWidth="1"/>
    <col min="14723" max="14723" width="12.85546875" style="5" customWidth="1"/>
    <col min="14724" max="14724" width="11.7109375" style="5" customWidth="1"/>
    <col min="14725" max="14725" width="12.7109375" style="5" customWidth="1"/>
    <col min="14726" max="14726" width="11.7109375" style="5" customWidth="1"/>
    <col min="14727" max="14727" width="13" style="5" customWidth="1"/>
    <col min="14728" max="14739" width="11.7109375" style="5" customWidth="1"/>
    <col min="14740" max="14740" width="12.5703125" style="5" customWidth="1"/>
    <col min="14741" max="14741" width="11.7109375" style="5" customWidth="1"/>
    <col min="14742" max="14742" width="13" style="5" customWidth="1"/>
    <col min="14743" max="14748" width="11.7109375" style="5" customWidth="1"/>
    <col min="14749" max="14749" width="13.7109375" style="5" customWidth="1"/>
    <col min="14750" max="14750" width="13.140625" style="5" customWidth="1"/>
    <col min="14751" max="14754" width="13" style="5" customWidth="1"/>
    <col min="14755" max="14761" width="11.7109375" style="5" customWidth="1"/>
    <col min="14762" max="14762" width="10.85546875" style="5" customWidth="1"/>
    <col min="14763" max="14763" width="11.7109375" style="5" customWidth="1"/>
    <col min="14764" max="14766" width="22.7109375" style="5" customWidth="1"/>
    <col min="14767" max="14769" width="20.7109375" style="5" customWidth="1"/>
    <col min="14770" max="14957" width="8.85546875" style="5"/>
    <col min="14958" max="14958" width="6.140625" style="5" customWidth="1"/>
    <col min="14959" max="14959" width="20.28515625" style="5" customWidth="1"/>
    <col min="14960" max="14960" width="12.42578125" style="5" customWidth="1"/>
    <col min="14961" max="14961" width="13" style="5" customWidth="1"/>
    <col min="14962" max="14962" width="12.5703125" style="5" customWidth="1"/>
    <col min="14963" max="14976" width="11.7109375" style="5" customWidth="1"/>
    <col min="14977" max="14977" width="12.28515625" style="5" customWidth="1"/>
    <col min="14978" max="14978" width="11.7109375" style="5" customWidth="1"/>
    <col min="14979" max="14979" width="12.85546875" style="5" customWidth="1"/>
    <col min="14980" max="14980" width="11.7109375" style="5" customWidth="1"/>
    <col min="14981" max="14981" width="12.7109375" style="5" customWidth="1"/>
    <col min="14982" max="14982" width="11.7109375" style="5" customWidth="1"/>
    <col min="14983" max="14983" width="13" style="5" customWidth="1"/>
    <col min="14984" max="14995" width="11.7109375" style="5" customWidth="1"/>
    <col min="14996" max="14996" width="12.5703125" style="5" customWidth="1"/>
    <col min="14997" max="14997" width="11.7109375" style="5" customWidth="1"/>
    <col min="14998" max="14998" width="13" style="5" customWidth="1"/>
    <col min="14999" max="15004" width="11.7109375" style="5" customWidth="1"/>
    <col min="15005" max="15005" width="13.7109375" style="5" customWidth="1"/>
    <col min="15006" max="15006" width="13.140625" style="5" customWidth="1"/>
    <col min="15007" max="15010" width="13" style="5" customWidth="1"/>
    <col min="15011" max="15017" width="11.7109375" style="5" customWidth="1"/>
    <col min="15018" max="15018" width="10.85546875" style="5" customWidth="1"/>
    <col min="15019" max="15019" width="11.7109375" style="5" customWidth="1"/>
    <col min="15020" max="15022" width="22.7109375" style="5" customWidth="1"/>
    <col min="15023" max="15025" width="20.7109375" style="5" customWidth="1"/>
    <col min="15026" max="15213" width="8.85546875" style="5"/>
    <col min="15214" max="15214" width="6.140625" style="5" customWidth="1"/>
    <col min="15215" max="15215" width="20.28515625" style="5" customWidth="1"/>
    <col min="15216" max="15216" width="12.42578125" style="5" customWidth="1"/>
    <col min="15217" max="15217" width="13" style="5" customWidth="1"/>
    <col min="15218" max="15218" width="12.5703125" style="5" customWidth="1"/>
    <col min="15219" max="15232" width="11.7109375" style="5" customWidth="1"/>
    <col min="15233" max="15233" width="12.28515625" style="5" customWidth="1"/>
    <col min="15234" max="15234" width="11.7109375" style="5" customWidth="1"/>
    <col min="15235" max="15235" width="12.85546875" style="5" customWidth="1"/>
    <col min="15236" max="15236" width="11.7109375" style="5" customWidth="1"/>
    <col min="15237" max="15237" width="12.7109375" style="5" customWidth="1"/>
    <col min="15238" max="15238" width="11.7109375" style="5" customWidth="1"/>
    <col min="15239" max="15239" width="13" style="5" customWidth="1"/>
    <col min="15240" max="15251" width="11.7109375" style="5" customWidth="1"/>
    <col min="15252" max="15252" width="12.5703125" style="5" customWidth="1"/>
    <col min="15253" max="15253" width="11.7109375" style="5" customWidth="1"/>
    <col min="15254" max="15254" width="13" style="5" customWidth="1"/>
    <col min="15255" max="15260" width="11.7109375" style="5" customWidth="1"/>
    <col min="15261" max="15261" width="13.7109375" style="5" customWidth="1"/>
    <col min="15262" max="15262" width="13.140625" style="5" customWidth="1"/>
    <col min="15263" max="15266" width="13" style="5" customWidth="1"/>
    <col min="15267" max="15273" width="11.7109375" style="5" customWidth="1"/>
    <col min="15274" max="15274" width="10.85546875" style="5" customWidth="1"/>
    <col min="15275" max="15275" width="11.7109375" style="5" customWidth="1"/>
    <col min="15276" max="15278" width="22.7109375" style="5" customWidth="1"/>
    <col min="15279" max="15281" width="20.7109375" style="5" customWidth="1"/>
    <col min="15282" max="15469" width="8.85546875" style="5"/>
    <col min="15470" max="15470" width="6.140625" style="5" customWidth="1"/>
    <col min="15471" max="15471" width="20.28515625" style="5" customWidth="1"/>
    <col min="15472" max="15472" width="12.42578125" style="5" customWidth="1"/>
    <col min="15473" max="15473" width="13" style="5" customWidth="1"/>
    <col min="15474" max="15474" width="12.5703125" style="5" customWidth="1"/>
    <col min="15475" max="15488" width="11.7109375" style="5" customWidth="1"/>
    <col min="15489" max="15489" width="12.28515625" style="5" customWidth="1"/>
    <col min="15490" max="15490" width="11.7109375" style="5" customWidth="1"/>
    <col min="15491" max="15491" width="12.85546875" style="5" customWidth="1"/>
    <col min="15492" max="15492" width="11.7109375" style="5" customWidth="1"/>
    <col min="15493" max="15493" width="12.7109375" style="5" customWidth="1"/>
    <col min="15494" max="15494" width="11.7109375" style="5" customWidth="1"/>
    <col min="15495" max="15495" width="13" style="5" customWidth="1"/>
    <col min="15496" max="15507" width="11.7109375" style="5" customWidth="1"/>
    <col min="15508" max="15508" width="12.5703125" style="5" customWidth="1"/>
    <col min="15509" max="15509" width="11.7109375" style="5" customWidth="1"/>
    <col min="15510" max="15510" width="13" style="5" customWidth="1"/>
    <col min="15511" max="15516" width="11.7109375" style="5" customWidth="1"/>
    <col min="15517" max="15517" width="13.7109375" style="5" customWidth="1"/>
    <col min="15518" max="15518" width="13.140625" style="5" customWidth="1"/>
    <col min="15519" max="15522" width="13" style="5" customWidth="1"/>
    <col min="15523" max="15529" width="11.7109375" style="5" customWidth="1"/>
    <col min="15530" max="15530" width="10.85546875" style="5" customWidth="1"/>
    <col min="15531" max="15531" width="11.7109375" style="5" customWidth="1"/>
    <col min="15532" max="15534" width="22.7109375" style="5" customWidth="1"/>
    <col min="15535" max="15537" width="20.7109375" style="5" customWidth="1"/>
    <col min="15538" max="15725" width="8.85546875" style="5"/>
    <col min="15726" max="15726" width="6.140625" style="5" customWidth="1"/>
    <col min="15727" max="15727" width="20.28515625" style="5" customWidth="1"/>
    <col min="15728" max="15728" width="12.42578125" style="5" customWidth="1"/>
    <col min="15729" max="15729" width="13" style="5" customWidth="1"/>
    <col min="15730" max="15730" width="12.5703125" style="5" customWidth="1"/>
    <col min="15731" max="15744" width="11.7109375" style="5" customWidth="1"/>
    <col min="15745" max="15745" width="12.28515625" style="5" customWidth="1"/>
    <col min="15746" max="15746" width="11.7109375" style="5" customWidth="1"/>
    <col min="15747" max="15747" width="12.85546875" style="5" customWidth="1"/>
    <col min="15748" max="15748" width="11.7109375" style="5" customWidth="1"/>
    <col min="15749" max="15749" width="12.7109375" style="5" customWidth="1"/>
    <col min="15750" max="15750" width="11.7109375" style="5" customWidth="1"/>
    <col min="15751" max="15751" width="13" style="5" customWidth="1"/>
    <col min="15752" max="15763" width="11.7109375" style="5" customWidth="1"/>
    <col min="15764" max="15764" width="12.5703125" style="5" customWidth="1"/>
    <col min="15765" max="15765" width="11.7109375" style="5" customWidth="1"/>
    <col min="15766" max="15766" width="13" style="5" customWidth="1"/>
    <col min="15767" max="15772" width="11.7109375" style="5" customWidth="1"/>
    <col min="15773" max="15773" width="13.7109375" style="5" customWidth="1"/>
    <col min="15774" max="15774" width="13.140625" style="5" customWidth="1"/>
    <col min="15775" max="15778" width="13" style="5" customWidth="1"/>
    <col min="15779" max="15785" width="11.7109375" style="5" customWidth="1"/>
    <col min="15786" max="15786" width="10.85546875" style="5" customWidth="1"/>
    <col min="15787" max="15787" width="11.7109375" style="5" customWidth="1"/>
    <col min="15788" max="15790" width="22.7109375" style="5" customWidth="1"/>
    <col min="15791" max="15793" width="20.7109375" style="5" customWidth="1"/>
    <col min="15794" max="15981" width="8.85546875" style="5"/>
    <col min="15982" max="15982" width="6.140625" style="5" customWidth="1"/>
    <col min="15983" max="15983" width="20.28515625" style="5" customWidth="1"/>
    <col min="15984" max="15984" width="12.42578125" style="5" customWidth="1"/>
    <col min="15985" max="15985" width="13" style="5" customWidth="1"/>
    <col min="15986" max="15986" width="12.5703125" style="5" customWidth="1"/>
    <col min="15987" max="16000" width="11.7109375" style="5" customWidth="1"/>
    <col min="16001" max="16001" width="12.28515625" style="5" customWidth="1"/>
    <col min="16002" max="16002" width="11.7109375" style="5" customWidth="1"/>
    <col min="16003" max="16003" width="12.85546875" style="5" customWidth="1"/>
    <col min="16004" max="16004" width="11.7109375" style="5" customWidth="1"/>
    <col min="16005" max="16005" width="12.7109375" style="5" customWidth="1"/>
    <col min="16006" max="16006" width="11.7109375" style="5" customWidth="1"/>
    <col min="16007" max="16007" width="13" style="5" customWidth="1"/>
    <col min="16008" max="16019" width="11.7109375" style="5" customWidth="1"/>
    <col min="16020" max="16020" width="12.5703125" style="5" customWidth="1"/>
    <col min="16021" max="16021" width="11.7109375" style="5" customWidth="1"/>
    <col min="16022" max="16022" width="13" style="5" customWidth="1"/>
    <col min="16023" max="16028" width="11.7109375" style="5" customWidth="1"/>
    <col min="16029" max="16029" width="13.7109375" style="5" customWidth="1"/>
    <col min="16030" max="16030" width="13.140625" style="5" customWidth="1"/>
    <col min="16031" max="16034" width="13" style="5" customWidth="1"/>
    <col min="16035" max="16041" width="11.7109375" style="5" customWidth="1"/>
    <col min="16042" max="16042" width="10.85546875" style="5" customWidth="1"/>
    <col min="16043" max="16043" width="11.7109375" style="5" customWidth="1"/>
    <col min="16044" max="16046" width="22.7109375" style="5" customWidth="1"/>
    <col min="16047" max="16049" width="20.7109375" style="5" customWidth="1"/>
    <col min="16050" max="16384" width="8.85546875" style="5"/>
  </cols>
  <sheetData>
    <row r="1" spans="1:62" s="31" customFormat="1" ht="24.75" customHeight="1">
      <c r="A1" s="29"/>
      <c r="B1" s="30"/>
      <c r="C1" s="23" t="s">
        <v>137</v>
      </c>
      <c r="D1" s="23"/>
      <c r="E1" s="23"/>
      <c r="F1" s="23"/>
      <c r="G1" s="23"/>
      <c r="H1" s="23"/>
      <c r="I1" s="23" t="str">
        <f>C1</f>
        <v>Table D1: GROSS ENROLMENT RATIO (GER)</v>
      </c>
      <c r="J1" s="23"/>
      <c r="K1" s="23"/>
      <c r="L1" s="23"/>
      <c r="M1" s="23"/>
      <c r="N1" s="23"/>
      <c r="O1" s="23" t="str">
        <f>I1</f>
        <v>Table D1: GROSS ENROLMENT RATIO (GER)</v>
      </c>
      <c r="P1" s="23"/>
      <c r="Q1" s="23"/>
      <c r="R1" s="23"/>
      <c r="S1" s="23"/>
      <c r="T1" s="23"/>
      <c r="U1" s="23" t="str">
        <f>O1</f>
        <v>Table D1: GROSS ENROLMENT RATIO (GER)</v>
      </c>
      <c r="V1" s="23"/>
      <c r="W1" s="23"/>
      <c r="X1" s="23"/>
      <c r="Y1" s="23"/>
      <c r="Z1" s="23"/>
    </row>
    <row r="2" spans="1:62" s="137" customFormat="1" ht="15.75" customHeight="1">
      <c r="C2" s="139" t="s">
        <v>81</v>
      </c>
      <c r="I2" s="139" t="str">
        <f>C2</f>
        <v>All Categories</v>
      </c>
      <c r="O2" s="139" t="str">
        <f>I2</f>
        <v>All Categories</v>
      </c>
      <c r="U2" s="139" t="str">
        <f>O2</f>
        <v>All Categories</v>
      </c>
      <c r="AA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</row>
    <row r="3" spans="1:62" s="33" customFormat="1" ht="32.25" customHeight="1">
      <c r="A3" s="283" t="s">
        <v>67</v>
      </c>
      <c r="B3" s="283" t="s">
        <v>65</v>
      </c>
      <c r="C3" s="283" t="s">
        <v>89</v>
      </c>
      <c r="D3" s="285"/>
      <c r="E3" s="285"/>
      <c r="F3" s="283" t="s">
        <v>90</v>
      </c>
      <c r="G3" s="285"/>
      <c r="H3" s="285"/>
      <c r="I3" s="283" t="s">
        <v>91</v>
      </c>
      <c r="J3" s="285"/>
      <c r="K3" s="285"/>
      <c r="L3" s="308" t="s">
        <v>92</v>
      </c>
      <c r="M3" s="309"/>
      <c r="N3" s="310"/>
      <c r="O3" s="308" t="s">
        <v>93</v>
      </c>
      <c r="P3" s="309"/>
      <c r="Q3" s="310"/>
      <c r="R3" s="308" t="s">
        <v>94</v>
      </c>
      <c r="S3" s="309"/>
      <c r="T3" s="310"/>
      <c r="U3" s="308" t="s">
        <v>95</v>
      </c>
      <c r="V3" s="311"/>
      <c r="W3" s="312"/>
      <c r="X3" s="308" t="s">
        <v>96</v>
      </c>
      <c r="Y3" s="309"/>
      <c r="Z3" s="310"/>
    </row>
    <row r="4" spans="1:62" s="33" customFormat="1" ht="20.25" customHeight="1">
      <c r="A4" s="283"/>
      <c r="B4" s="283"/>
      <c r="C4" s="43" t="s">
        <v>13</v>
      </c>
      <c r="D4" s="43" t="s">
        <v>14</v>
      </c>
      <c r="E4" s="43" t="s">
        <v>15</v>
      </c>
      <c r="F4" s="43" t="s">
        <v>13</v>
      </c>
      <c r="G4" s="43" t="s">
        <v>14</v>
      </c>
      <c r="H4" s="43" t="s">
        <v>15</v>
      </c>
      <c r="I4" s="43" t="s">
        <v>13</v>
      </c>
      <c r="J4" s="43" t="s">
        <v>14</v>
      </c>
      <c r="K4" s="43" t="s">
        <v>15</v>
      </c>
      <c r="L4" s="43" t="s">
        <v>13</v>
      </c>
      <c r="M4" s="43" t="s">
        <v>14</v>
      </c>
      <c r="N4" s="43" t="s">
        <v>15</v>
      </c>
      <c r="O4" s="43" t="s">
        <v>13</v>
      </c>
      <c r="P4" s="43" t="s">
        <v>14</v>
      </c>
      <c r="Q4" s="43" t="s">
        <v>15</v>
      </c>
      <c r="R4" s="43" t="s">
        <v>13</v>
      </c>
      <c r="S4" s="43" t="s">
        <v>14</v>
      </c>
      <c r="T4" s="43" t="s">
        <v>15</v>
      </c>
      <c r="U4" s="43" t="s">
        <v>13</v>
      </c>
      <c r="V4" s="43" t="s">
        <v>14</v>
      </c>
      <c r="W4" s="43" t="s">
        <v>15</v>
      </c>
      <c r="X4" s="43" t="s">
        <v>13</v>
      </c>
      <c r="Y4" s="43" t="s">
        <v>14</v>
      </c>
      <c r="Z4" s="43" t="s">
        <v>15</v>
      </c>
    </row>
    <row r="5" spans="1:62" s="34" customFormat="1" ht="13.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</row>
    <row r="6" spans="1:62" s="35" customFormat="1" ht="19.5" customHeight="1">
      <c r="A6" s="25">
        <v>1</v>
      </c>
      <c r="B6" s="26" t="s">
        <v>16</v>
      </c>
      <c r="C6" s="45">
        <f>EnrlAll!U6/'Total Population '!C6%</f>
        <v>92.160641396745362</v>
      </c>
      <c r="D6" s="45">
        <f>EnrlAll!V6/'Total Population '!D6%</f>
        <v>93.56736109103943</v>
      </c>
      <c r="E6" s="45">
        <f>EnrlAll!W6/'Total Population '!E6%</f>
        <v>92.843108359706022</v>
      </c>
      <c r="F6" s="45">
        <f>EnrlAll!AG6/'Total Population '!F6%</f>
        <v>76.480405850124043</v>
      </c>
      <c r="G6" s="45">
        <f>EnrlAll!AH6/'Total Population '!G6%</f>
        <v>78.492477961717711</v>
      </c>
      <c r="H6" s="45">
        <f>EnrlAll!AI6/'Total Population '!H6%</f>
        <v>77.463999372765841</v>
      </c>
      <c r="I6" s="45">
        <f>EnrlAll!AJ6/('Total Population '!C6+'Total Population '!F6)%</f>
        <v>86.116294704517458</v>
      </c>
      <c r="J6" s="45">
        <f>EnrlAll!AK6/('Total Population '!D6+'Total Population '!G6)%</f>
        <v>87.70341216662851</v>
      </c>
      <c r="K6" s="45">
        <f>EnrlAll!AL6/('Total Population '!E6+'Total Population '!H6)%</f>
        <v>86.888553856201156</v>
      </c>
      <c r="L6" s="45">
        <f>EnrlAll!AS6/'Total Population '!I6%</f>
        <v>64.189414679814888</v>
      </c>
      <c r="M6" s="45">
        <f>EnrlAll!AT6/'Total Population '!J6%</f>
        <v>66.918997916565971</v>
      </c>
      <c r="N6" s="45">
        <f>EnrlAll!AU6/'Total Population '!K6%</f>
        <v>65.503800595882481</v>
      </c>
      <c r="O6" s="45">
        <f>EnrlAll!AV6/('Total Population '!C6+'Total Population '!F6+'Total Population '!I6)%</f>
        <v>81.525379731658475</v>
      </c>
      <c r="P6" s="45">
        <f>EnrlAll!AW6/('Total Population '!D6+'Total Population '!G6+'Total Population '!J6)%</f>
        <v>83.420809482307106</v>
      </c>
      <c r="Q6" s="45">
        <f>EnrlAll!AX6/('Total Population '!E6+'Total Population '!H6+'Total Population '!K6)%</f>
        <v>82.445670244601132</v>
      </c>
      <c r="R6" s="45">
        <f>EnrlAll!BE6/'Total Population '!L6%</f>
        <v>52.984841678437228</v>
      </c>
      <c r="S6" s="45">
        <f>EnrlAll!BF6/'Total Population '!M6%</f>
        <v>50.96580274830405</v>
      </c>
      <c r="T6" s="45">
        <f>EnrlAll!BG6/'Total Population '!N6%</f>
        <v>52.030985033082501</v>
      </c>
      <c r="U6" s="45">
        <f>(EnrlAll!AS6+EnrlAll!BE6)/('Total Population '!L6+'Total Population '!I6)%</f>
        <v>58.736633557691661</v>
      </c>
      <c r="V6" s="45">
        <f>(EnrlAll!AT6+EnrlAll!BF6)/('Total Population '!M6+'Total Population '!J6)%</f>
        <v>59.300603989694494</v>
      </c>
      <c r="W6" s="45">
        <f>(EnrlAll!AU6+EnrlAll!BG6)/('Total Population '!N6+'Total Population '!K6)%</f>
        <v>59.005728280507554</v>
      </c>
      <c r="X6" s="45">
        <f>EnrlAll!BH6/('Total Population '!C6+'Total Population '!F6+'Total Population '!I6+'Total Population '!L6)%</f>
        <v>76.798601015867035</v>
      </c>
      <c r="Y6" s="45">
        <f>EnrlAll!BI6/('Total Population '!D6+'Total Population '!G6+'Total Population '!J6+'Total Population '!M6)%</f>
        <v>78.277059434372248</v>
      </c>
      <c r="Z6" s="45">
        <f>EnrlAll!BJ6/('Total Population '!E6+'Total Population '!H6+'Total Population '!K6+'Total Population '!N6)%</f>
        <v>77.513297925504972</v>
      </c>
    </row>
    <row r="7" spans="1:62" s="35" customFormat="1" ht="19.5" customHeight="1">
      <c r="A7" s="25">
        <v>2</v>
      </c>
      <c r="B7" s="26" t="s">
        <v>17</v>
      </c>
      <c r="C7" s="45">
        <f>EnrlAll!U7/'Total Population '!C7%</f>
        <v>136.26072156406065</v>
      </c>
      <c r="D7" s="45">
        <f>EnrlAll!V7/'Total Population '!D7%</f>
        <v>130.79748949156445</v>
      </c>
      <c r="E7" s="45">
        <f>EnrlAll!W7/'Total Population '!E7%</f>
        <v>133.56742609613889</v>
      </c>
      <c r="F7" s="45">
        <f>EnrlAll!AG7/'Total Population '!F7%</f>
        <v>86.036070170120865</v>
      </c>
      <c r="G7" s="45">
        <f>EnrlAll!AH7/'Total Population '!G7%</f>
        <v>83.047148682019184</v>
      </c>
      <c r="H7" s="45">
        <f>EnrlAll!AI7/'Total Population '!H7%</f>
        <v>84.549393001666274</v>
      </c>
      <c r="I7" s="45">
        <f>EnrlAll!AJ7/('Total Population '!C7+'Total Population '!F7)%</f>
        <v>117.60267995383272</v>
      </c>
      <c r="J7" s="45">
        <f>EnrlAll!AK7/('Total Population '!D7+'Total Population '!G7)%</f>
        <v>112.86149819520543</v>
      </c>
      <c r="K7" s="45">
        <f>EnrlAll!AL7/('Total Population '!E7+'Total Population '!H7)%</f>
        <v>115.25753469480664</v>
      </c>
      <c r="L7" s="45">
        <f>EnrlAll!AS7/'Total Population '!I7%</f>
        <v>59.395114821373362</v>
      </c>
      <c r="M7" s="45">
        <f>EnrlAll!AT7/'Total Population '!J7%</f>
        <v>53.865479045335164</v>
      </c>
      <c r="N7" s="45">
        <f>EnrlAll!AU7/'Total Population '!K7%</f>
        <v>56.651795198640329</v>
      </c>
      <c r="O7" s="45">
        <f>EnrlAll!AV7/('Total Population '!C7+'Total Population '!F7+'Total Population '!I7)%</f>
        <v>105.94701382908667</v>
      </c>
      <c r="P7" s="45">
        <f>EnrlAll!AW7/('Total Population '!D7+'Total Population '!G7+'Total Population '!J7)%</f>
        <v>100.99194724931363</v>
      </c>
      <c r="Q7" s="45">
        <f>EnrlAll!AX7/('Total Population '!E7+'Total Population '!H7+'Total Population '!K7)%</f>
        <v>103.49460302298938</v>
      </c>
      <c r="R7" s="45">
        <f>EnrlAll!BE7/'Total Population '!L7%</f>
        <v>48.918910078178669</v>
      </c>
      <c r="S7" s="45">
        <f>EnrlAll!BF7/'Total Population '!M7%</f>
        <v>44.65704935550658</v>
      </c>
      <c r="T7" s="45">
        <f>EnrlAll!BG7/'Total Population '!N7%</f>
        <v>46.809987276302529</v>
      </c>
      <c r="U7" s="45">
        <f>(EnrlAll!AS7+EnrlAll!BE7)/('Total Population '!L7+'Total Population '!I7)%</f>
        <v>54.553425651569206</v>
      </c>
      <c r="V7" s="45">
        <f>(EnrlAll!AT7+EnrlAll!BF7)/('Total Population '!M7+'Total Population '!J7)%</f>
        <v>49.621387016344997</v>
      </c>
      <c r="W7" s="45">
        <f>(EnrlAll!AU7+EnrlAll!BG7)/('Total Population '!N7+'Total Population '!K7)%</f>
        <v>52.109485822363901</v>
      </c>
      <c r="X7" s="45">
        <f>EnrlAll!BH7/('Total Population '!C7+'Total Population '!F7+'Total Population '!I7+'Total Population '!L7)%</f>
        <v>97.574913561275451</v>
      </c>
      <c r="Y7" s="45">
        <f>EnrlAll!BI7/('Total Population '!D7+'Total Population '!G7+'Total Population '!J7+'Total Population '!M7)%</f>
        <v>92.724260958205917</v>
      </c>
      <c r="Z7" s="45">
        <f>EnrlAll!BJ7/('Total Population '!E7+'Total Population '!H7+'Total Population '!K7+'Total Population '!N7)%</f>
        <v>95.17424712822104</v>
      </c>
    </row>
    <row r="8" spans="1:62" s="35" customFormat="1" ht="19.5" customHeight="1">
      <c r="A8" s="25">
        <v>3</v>
      </c>
      <c r="B8" s="26" t="s">
        <v>48</v>
      </c>
      <c r="C8" s="45">
        <f>EnrlAll!U8/'Total Population '!C8%</f>
        <v>79.905379234238282</v>
      </c>
      <c r="D8" s="45">
        <f>EnrlAll!V8/'Total Population '!D8%</f>
        <v>83.189506346581823</v>
      </c>
      <c r="E8" s="45">
        <f>EnrlAll!W8/'Total Population '!E8%</f>
        <v>81.512936668876435</v>
      </c>
      <c r="F8" s="45">
        <f>EnrlAll!AG8/'Total Population '!F8%</f>
        <v>64.301042378138277</v>
      </c>
      <c r="G8" s="45">
        <f>EnrlAll!AH8/'Total Population '!G8%</f>
        <v>67.108238902513975</v>
      </c>
      <c r="H8" s="45">
        <f>EnrlAll!AI8/'Total Population '!H8%</f>
        <v>65.672458333475049</v>
      </c>
      <c r="I8" s="45">
        <f>EnrlAll!AJ8/('Total Population '!C8+'Total Population '!F8)%</f>
        <v>74.207968079401937</v>
      </c>
      <c r="J8" s="45">
        <f>EnrlAll!AK8/('Total Population '!D8+'Total Population '!G8)%</f>
        <v>77.332233095801811</v>
      </c>
      <c r="K8" s="45">
        <f>EnrlAll!AL8/('Total Population '!E8+'Total Population '!H8)%</f>
        <v>75.736183437666668</v>
      </c>
      <c r="L8" s="45">
        <f>EnrlAll!AS8/'Total Population '!I8%</f>
        <v>52.161778584653511</v>
      </c>
      <c r="M8" s="45">
        <f>EnrlAll!AT8/'Total Population '!J8%</f>
        <v>61.663552759478101</v>
      </c>
      <c r="N8" s="45">
        <f>EnrlAll!AU8/'Total Population '!K8%</f>
        <v>56.746390362768167</v>
      </c>
      <c r="O8" s="45">
        <f>EnrlAll!AV8/('Total Population '!C8+'Total Population '!F8+'Total Population '!I8)%</f>
        <v>69.930635479422534</v>
      </c>
      <c r="P8" s="45">
        <f>EnrlAll!AW8/('Total Population '!D8+'Total Population '!G8+'Total Population '!J8)%</f>
        <v>74.356878058686291</v>
      </c>
      <c r="Q8" s="45">
        <f>EnrlAll!AX8/('Total Population '!E8+'Total Population '!H8+'Total Population '!K8)%</f>
        <v>72.090059388091632</v>
      </c>
      <c r="R8" s="45">
        <f>EnrlAll!BE8/'Total Population '!L8%</f>
        <v>12.530575309557303</v>
      </c>
      <c r="S8" s="45">
        <f>EnrlAll!BF8/'Total Population '!M8%</f>
        <v>13.779061006487044</v>
      </c>
      <c r="T8" s="45">
        <f>EnrlAll!BG8/'Total Population '!N8%</f>
        <v>13.111480433145498</v>
      </c>
      <c r="U8" s="45">
        <f>(EnrlAll!AS8+EnrlAll!BE8)/('Total Population '!L8+'Total Population '!I8)%</f>
        <v>33.498733011529445</v>
      </c>
      <c r="V8" s="45">
        <f>(EnrlAll!AT8+EnrlAll!BF8)/('Total Population '!M8+'Total Population '!J8)%</f>
        <v>39.935676118281663</v>
      </c>
      <c r="W8" s="45">
        <f>(EnrlAll!AU8+EnrlAll!BG8)/('Total Population '!N8+'Total Population '!K8)%</f>
        <v>36.553287491357558</v>
      </c>
      <c r="X8" s="45">
        <f>EnrlAll!BH8/('Total Population '!C8+'Total Population '!F8+'Total Population '!I8+'Total Population '!L8)%</f>
        <v>61.478009385624439</v>
      </c>
      <c r="Y8" s="45">
        <f>EnrlAll!BI8/('Total Population '!D8+'Total Population '!G8+'Total Population '!J8+'Total Population '!M8)%</f>
        <v>66.103254397824628</v>
      </c>
      <c r="Z8" s="45">
        <f>EnrlAll!BJ8/('Total Population '!E8+'Total Population '!H8+'Total Population '!K8+'Total Population '!N8)%</f>
        <v>63.71969781473905</v>
      </c>
    </row>
    <row r="9" spans="1:62" s="35" customFormat="1" ht="19.5" customHeight="1">
      <c r="A9" s="25">
        <v>4</v>
      </c>
      <c r="B9" s="26" t="s">
        <v>18</v>
      </c>
      <c r="C9" s="45">
        <f>EnrlAll!U9/'Total Population '!C9%</f>
        <v>100.13730064546148</v>
      </c>
      <c r="D9" s="45">
        <f>EnrlAll!V9/'Total Population '!D9%</f>
        <v>97.714981642348476</v>
      </c>
      <c r="E9" s="45">
        <f>EnrlAll!W9/'Total Population '!E9%</f>
        <v>98.973941559651323</v>
      </c>
      <c r="F9" s="45">
        <f>EnrlAll!AG9/'Total Population '!F9%</f>
        <v>66.353577113385157</v>
      </c>
      <c r="G9" s="45">
        <f>EnrlAll!AH9/'Total Population '!G9%</f>
        <v>63.822651492964113</v>
      </c>
      <c r="H9" s="45">
        <f>EnrlAll!AI9/'Total Population '!H9%</f>
        <v>65.151817637109772</v>
      </c>
      <c r="I9" s="45">
        <f>EnrlAll!AJ9/('Total Population '!C9+'Total Population '!F9)%</f>
        <v>88.939202050039427</v>
      </c>
      <c r="J9" s="45">
        <f>EnrlAll!AK9/('Total Population '!D9+'Total Population '!G9)%</f>
        <v>86.643935636475646</v>
      </c>
      <c r="K9" s="45">
        <f>EnrlAll!AL9/('Total Population '!E9+'Total Population '!H9)%</f>
        <v>87.84096955899274</v>
      </c>
      <c r="L9" s="45">
        <f>EnrlAll!AS9/'Total Population '!I9%</f>
        <v>49.954738012144475</v>
      </c>
      <c r="M9" s="45">
        <f>EnrlAll!AT9/'Total Population '!J9%</f>
        <v>46.558848899219925</v>
      </c>
      <c r="N9" s="45">
        <f>EnrlAll!AU9/'Total Population '!K9%</f>
        <v>48.397211732249716</v>
      </c>
      <c r="O9" s="45">
        <f>EnrlAll!AV9/('Total Population '!C9+'Total Population '!F9+'Total Population '!I9)%</f>
        <v>82.327039878780042</v>
      </c>
      <c r="P9" s="45">
        <f>EnrlAll!AW9/('Total Population '!D9+'Total Population '!G9+'Total Population '!J9)%</f>
        <v>80.282922831761525</v>
      </c>
      <c r="Q9" s="45">
        <f>EnrlAll!AX9/('Total Population '!E9+'Total Population '!H9+'Total Population '!K9)%</f>
        <v>81.355640205357801</v>
      </c>
      <c r="R9" s="45">
        <f>EnrlAll!BE9/'Total Population '!L9%</f>
        <v>36.936181083362563</v>
      </c>
      <c r="S9" s="45">
        <f>EnrlAll!BF9/'Total Population '!M9%</f>
        <v>33.274646375860243</v>
      </c>
      <c r="T9" s="45">
        <f>EnrlAll!BG9/'Total Population '!N9%</f>
        <v>35.331808190860031</v>
      </c>
      <c r="U9" s="45">
        <f>(EnrlAll!AS9+EnrlAll!BE9)/('Total Population '!L9+'Total Population '!I9)%</f>
        <v>44.277783018232292</v>
      </c>
      <c r="V9" s="45">
        <f>(EnrlAll!AT9+EnrlAll!BF9)/('Total Population '!M9+'Total Population '!J9)%</f>
        <v>41.035021929896821</v>
      </c>
      <c r="W9" s="45">
        <f>(EnrlAll!AU9+EnrlAll!BG9)/('Total Population '!N9+'Total Population '!K9)%</f>
        <v>42.818845328178</v>
      </c>
      <c r="X9" s="45">
        <f>EnrlAll!BH9/('Total Population '!C9+'Total Population '!F9+'Total Population '!I9+'Total Population '!L9)%</f>
        <v>77.064155974462082</v>
      </c>
      <c r="Y9" s="45">
        <f>EnrlAll!BI9/('Total Population '!D9+'Total Population '!G9+'Total Population '!J9+'Total Population '!M9)%</f>
        <v>75.512048592488853</v>
      </c>
      <c r="Z9" s="45">
        <f>EnrlAll!BJ9/('Total Population '!E9+'Total Population '!H9+'Total Population '!K9+'Total Population '!N9)%</f>
        <v>76.332843248294623</v>
      </c>
    </row>
    <row r="10" spans="1:62" s="35" customFormat="1" ht="19.5" customHeight="1">
      <c r="A10" s="25">
        <v>5</v>
      </c>
      <c r="B10" s="28" t="s">
        <v>19</v>
      </c>
      <c r="C10" s="45">
        <f>EnrlAll!U10/'Total Population '!C10%</f>
        <v>115.86067484539325</v>
      </c>
      <c r="D10" s="45">
        <f>EnrlAll!V10/'Total Population '!D10%</f>
        <v>112.37820561109736</v>
      </c>
      <c r="E10" s="45">
        <f>EnrlAll!W10/'Total Population '!E10%</f>
        <v>114.14991333450344</v>
      </c>
      <c r="F10" s="45">
        <f>EnrlAll!AG10/'Total Population '!F10%</f>
        <v>90.784883856495966</v>
      </c>
      <c r="G10" s="45">
        <f>EnrlAll!AH10/'Total Population '!G10%</f>
        <v>86.439953941520059</v>
      </c>
      <c r="H10" s="45">
        <f>EnrlAll!AI10/'Total Population '!H10%</f>
        <v>88.637614054040654</v>
      </c>
      <c r="I10" s="45">
        <f>EnrlAll!AJ10/('Total Population '!C10+'Total Population '!F10)%</f>
        <v>106.51424692762531</v>
      </c>
      <c r="J10" s="45">
        <f>EnrlAll!AK10/('Total Population '!D10+'Total Population '!G10)%</f>
        <v>102.63859205792349</v>
      </c>
      <c r="K10" s="45">
        <f>EnrlAll!AL10/('Total Population '!E10+'Total Population '!H10)%</f>
        <v>104.60605368063615</v>
      </c>
      <c r="L10" s="45">
        <f>EnrlAll!AS10/'Total Population '!I10%</f>
        <v>67.188178660961938</v>
      </c>
      <c r="M10" s="45">
        <f>EnrlAll!AT10/'Total Population '!J10%</f>
        <v>64.1192670561841</v>
      </c>
      <c r="N10" s="45">
        <f>EnrlAll!AU10/'Total Population '!K10%</f>
        <v>65.673600905497807</v>
      </c>
      <c r="O10" s="45">
        <f>EnrlAll!AV10/('Total Population '!C10+'Total Population '!F10+'Total Population '!I10)%</f>
        <v>98.874266743321485</v>
      </c>
      <c r="P10" s="45">
        <f>EnrlAll!AW10/('Total Population '!D10+'Total Population '!G10+'Total Population '!J10)%</f>
        <v>95.127100075417147</v>
      </c>
      <c r="Q10" s="45">
        <f>EnrlAll!AX10/('Total Population '!E10+'Total Population '!H10+'Total Population '!K10)%</f>
        <v>97.028482557078718</v>
      </c>
      <c r="R10" s="45">
        <f>EnrlAll!BE10/'Total Population '!L10%</f>
        <v>39.50752542794315</v>
      </c>
      <c r="S10" s="45">
        <f>EnrlAll!BF10/'Total Population '!M10%</f>
        <v>34.524307020472968</v>
      </c>
      <c r="T10" s="45">
        <f>EnrlAll!BG10/'Total Population '!N10%</f>
        <v>37.051918838203548</v>
      </c>
      <c r="U10" s="45">
        <f>(EnrlAll!AS10+EnrlAll!BE10)/('Total Population '!L10+'Total Population '!I10)%</f>
        <v>53.866361769141093</v>
      </c>
      <c r="V10" s="45">
        <f>(EnrlAll!AT10+EnrlAll!BF10)/('Total Population '!M10+'Total Population '!J10)%</f>
        <v>49.898250563032768</v>
      </c>
      <c r="W10" s="45">
        <f>(EnrlAll!AU10+EnrlAll!BG10)/('Total Population '!N10+'Total Population '!K10)%</f>
        <v>51.909435042249463</v>
      </c>
      <c r="X10" s="45">
        <f>EnrlAll!BH10/('Total Population '!C10+'Total Population '!F10+'Total Population '!I10+'Total Population '!L10)%</f>
        <v>89.808008705140082</v>
      </c>
      <c r="Y10" s="45">
        <f>EnrlAll!BI10/('Total Population '!D10+'Total Population '!G10+'Total Population '!J10+'Total Population '!M10)%</f>
        <v>85.86599085404049</v>
      </c>
      <c r="Z10" s="45">
        <f>EnrlAll!BJ10/('Total Population '!E10+'Total Population '!H10+'Total Population '!K10+'Total Population '!N10)%</f>
        <v>87.866127680480901</v>
      </c>
    </row>
    <row r="11" spans="1:62" s="35" customFormat="1" ht="19.5" customHeight="1">
      <c r="A11" s="25">
        <v>6</v>
      </c>
      <c r="B11" s="26" t="s">
        <v>20</v>
      </c>
      <c r="C11" s="45">
        <f>EnrlAll!U11/'Total Population '!C11%</f>
        <v>117.65682523641088</v>
      </c>
      <c r="D11" s="45">
        <f>EnrlAll!V11/'Total Population '!D11%</f>
        <v>114.06345800122625</v>
      </c>
      <c r="E11" s="45">
        <f>EnrlAll!W11/'Total Population '!E11%</f>
        <v>115.91390654622505</v>
      </c>
      <c r="F11" s="45">
        <f>EnrlAll!AG11/'Total Population '!F11%</f>
        <v>115.75572159792905</v>
      </c>
      <c r="G11" s="45">
        <f>EnrlAll!AH11/'Total Population '!G11%</f>
        <v>109.34880926025491</v>
      </c>
      <c r="H11" s="45">
        <f>EnrlAll!AI11/'Total Population '!H11%</f>
        <v>112.66822123664518</v>
      </c>
      <c r="I11" s="45">
        <f>EnrlAll!AJ11/('Total Population '!C11+'Total Population '!F11)%</f>
        <v>116.93398653334229</v>
      </c>
      <c r="J11" s="45">
        <f>EnrlAll!AK11/('Total Population '!D11+'Total Population '!G11)%</f>
        <v>112.28478362028851</v>
      </c>
      <c r="K11" s="45">
        <f>EnrlAll!AL11/('Total Population '!E11+'Total Population '!H11)%</f>
        <v>114.68447092375459</v>
      </c>
      <c r="L11" s="45">
        <f>EnrlAll!AS11/'Total Population '!I11%</f>
        <v>95.106884138482741</v>
      </c>
      <c r="M11" s="45">
        <f>EnrlAll!AT11/'Total Population '!J11%</f>
        <v>90.944206008583691</v>
      </c>
      <c r="N11" s="45">
        <f>EnrlAll!AU11/'Total Population '!K11%</f>
        <v>93.098847507533762</v>
      </c>
      <c r="O11" s="45">
        <f>EnrlAll!AV11/('Total Population '!C11+'Total Population '!F11+'Total Population '!I11)%</f>
        <v>112.54523845693299</v>
      </c>
      <c r="P11" s="45">
        <f>EnrlAll!AW11/('Total Population '!D11+'Total Population '!G11+'Total Population '!J11)%</f>
        <v>108.0138574741604</v>
      </c>
      <c r="Q11" s="45">
        <f>EnrlAll!AX11/('Total Population '!E11+'Total Population '!H11+'Total Population '!K11)%</f>
        <v>110.3540574466514</v>
      </c>
      <c r="R11" s="45">
        <f>EnrlAll!BE11/'Total Population '!L11%</f>
        <v>68.767449311181281</v>
      </c>
      <c r="S11" s="45">
        <f>EnrlAll!BF11/'Total Population '!M11%</f>
        <v>72.850857679568932</v>
      </c>
      <c r="T11" s="45">
        <f>EnrlAll!BG11/'Total Population '!N11%</f>
        <v>70.730548029849331</v>
      </c>
      <c r="U11" s="45">
        <f>(EnrlAll!AS11+EnrlAll!BE11)/('Total Population '!L11+'Total Population '!I11)%</f>
        <v>82.130777903043963</v>
      </c>
      <c r="V11" s="45">
        <f>(EnrlAll!AT11+EnrlAll!BF11)/('Total Population '!M11+'Total Population '!J11)%</f>
        <v>82.060244180683995</v>
      </c>
      <c r="W11" s="45">
        <f>(EnrlAll!AU11+EnrlAll!BG11)/('Total Population '!N11+'Total Population '!K11)%</f>
        <v>82.096810015312855</v>
      </c>
      <c r="X11" s="45">
        <f>EnrlAll!BH11/('Total Population '!C11+'Total Population '!F11+'Total Population '!I11+'Total Population '!L11)%</f>
        <v>105.3941505427794</v>
      </c>
      <c r="Y11" s="45">
        <f>EnrlAll!BI11/('Total Population '!D11+'Total Population '!G11+'Total Population '!J11+'Total Population '!M11)%</f>
        <v>102.32381409487242</v>
      </c>
      <c r="Z11" s="45">
        <f>EnrlAll!BJ11/('Total Population '!E11+'Total Population '!H11+'Total Population '!K11+'Total Population '!N11)%</f>
        <v>103.91086927958078</v>
      </c>
    </row>
    <row r="12" spans="1:62" s="35" customFormat="1" ht="19.5" customHeight="1">
      <c r="A12" s="25">
        <v>7</v>
      </c>
      <c r="B12" s="26" t="s">
        <v>21</v>
      </c>
      <c r="C12" s="45">
        <f>EnrlAll!U12/'Total Population '!C12%</f>
        <v>110.07463259066051</v>
      </c>
      <c r="D12" s="45">
        <f>EnrlAll!V12/'Total Population '!D12%</f>
        <v>110.76143506989528</v>
      </c>
      <c r="E12" s="45">
        <f>EnrlAll!W12/'Total Population '!E12%</f>
        <v>110.39356436888986</v>
      </c>
      <c r="F12" s="45">
        <f>EnrlAll!AG12/'Total Population '!F12%</f>
        <v>80.738961807888558</v>
      </c>
      <c r="G12" s="45">
        <f>EnrlAll!AH12/'Total Population '!G12%</f>
        <v>75.193305155194423</v>
      </c>
      <c r="H12" s="45">
        <f>EnrlAll!AI12/'Total Population '!H12%</f>
        <v>78.152360507404182</v>
      </c>
      <c r="I12" s="45">
        <f>EnrlAll!AJ12/('Total Population '!C12+'Total Population '!F12)%</f>
        <v>98.938554626915774</v>
      </c>
      <c r="J12" s="45">
        <f>EnrlAll!AK12/('Total Population '!D12+'Total Population '!G12)%</f>
        <v>97.190462735357542</v>
      </c>
      <c r="K12" s="45">
        <f>EnrlAll!AL12/('Total Population '!E12+'Total Population '!H12)%</f>
        <v>98.125427997818534</v>
      </c>
      <c r="L12" s="45">
        <f>EnrlAll!AS12/'Total Population '!I12%</f>
        <v>65.168166102916061</v>
      </c>
      <c r="M12" s="45">
        <f>EnrlAll!AT12/'Total Population '!J12%</f>
        <v>53.283321251964722</v>
      </c>
      <c r="N12" s="45">
        <f>EnrlAll!AU12/'Total Population '!K12%</f>
        <v>59.641757323083368</v>
      </c>
      <c r="O12" s="45">
        <f>EnrlAll!AV12/('Total Population '!C12+'Total Population '!F12+'Total Population '!I12)%</f>
        <v>92.203240483998044</v>
      </c>
      <c r="P12" s="45">
        <f>EnrlAll!AW12/('Total Population '!D12+'Total Population '!G12+'Total Population '!J12)%</f>
        <v>88.437787986291653</v>
      </c>
      <c r="Q12" s="45">
        <f>EnrlAll!AX12/('Total Population '!E12+'Total Population '!H12+'Total Population '!K12)%</f>
        <v>90.451852755757557</v>
      </c>
      <c r="R12" s="45">
        <f>EnrlAll!BE12/'Total Population '!L12%</f>
        <v>40.50446766080799</v>
      </c>
      <c r="S12" s="45">
        <f>EnrlAll!BF12/'Total Population '!M12%</f>
        <v>33.38100374147249</v>
      </c>
      <c r="T12" s="45">
        <f>EnrlAll!BG12/'Total Population '!N12%</f>
        <v>37.197744564504504</v>
      </c>
      <c r="U12" s="45">
        <f>(EnrlAll!AS12+EnrlAll!BE12)/('Total Population '!L12+'Total Population '!I12)%</f>
        <v>53.220474577633944</v>
      </c>
      <c r="V12" s="45">
        <f>(EnrlAll!AT12+EnrlAll!BF12)/('Total Population '!M12+'Total Population '!J12)%</f>
        <v>43.658038077713819</v>
      </c>
      <c r="W12" s="45">
        <f>(EnrlAll!AU12+EnrlAll!BG12)/('Total Population '!N12+'Total Population '!K12)%</f>
        <v>48.777655644621646</v>
      </c>
      <c r="X12" s="45">
        <f>EnrlAll!BH12/('Total Population '!C12+'Total Population '!F12+'Total Population '!I12+'Total Population '!L12)%</f>
        <v>84.044172914974681</v>
      </c>
      <c r="Y12" s="45">
        <f>EnrlAll!BI12/('Total Population '!D12+'Total Population '!G12+'Total Population '!J12+'Total Population '!M12)%</f>
        <v>79.77574909168014</v>
      </c>
      <c r="Z12" s="45">
        <f>EnrlAll!BJ12/('Total Population '!E12+'Total Population '!H12+'Total Population '!K12+'Total Population '!N12)%</f>
        <v>82.059460985910448</v>
      </c>
    </row>
    <row r="13" spans="1:62" s="35" customFormat="1" ht="19.5" customHeight="1">
      <c r="A13" s="25">
        <v>8</v>
      </c>
      <c r="B13" s="26" t="s">
        <v>22</v>
      </c>
      <c r="C13" s="45">
        <f>EnrlAll!U13/'Total Population '!C13%</f>
        <v>85.863508857322174</v>
      </c>
      <c r="D13" s="45">
        <f>EnrlAll!V13/'Total Population '!D13%</f>
        <v>93.936755082632274</v>
      </c>
      <c r="E13" s="45">
        <f>EnrlAll!W13/'Total Population '!E13%</f>
        <v>89.49197815918626</v>
      </c>
      <c r="F13" s="45">
        <f>EnrlAll!AG13/'Total Population '!F13%</f>
        <v>76.72164652896268</v>
      </c>
      <c r="G13" s="45">
        <f>EnrlAll!AH13/'Total Population '!G13%</f>
        <v>83.557302448120723</v>
      </c>
      <c r="H13" s="45">
        <f>EnrlAll!AI13/'Total Population '!H13%</f>
        <v>79.782506000714989</v>
      </c>
      <c r="I13" s="45">
        <f>EnrlAll!AJ13/('Total Population '!C13+'Total Population '!F13)%</f>
        <v>82.380252669004662</v>
      </c>
      <c r="J13" s="45">
        <f>EnrlAll!AK13/('Total Population '!D13+'Total Population '!G13)%</f>
        <v>89.998415039918811</v>
      </c>
      <c r="K13" s="45">
        <f>EnrlAll!AL13/('Total Population '!E13+'Total Population '!H13)%</f>
        <v>85.79936289572899</v>
      </c>
      <c r="L13" s="45">
        <f>EnrlAll!AS13/'Total Population '!I13%</f>
        <v>66.329662940237029</v>
      </c>
      <c r="M13" s="45">
        <f>EnrlAll!AT13/'Total Population '!J13%</f>
        <v>71.908579260648423</v>
      </c>
      <c r="N13" s="45">
        <f>EnrlAll!AU13/'Total Population '!K13%</f>
        <v>68.842096314715178</v>
      </c>
      <c r="O13" s="45">
        <f>EnrlAll!AV13/('Total Population '!C13+'Total Population '!F13+'Total Population '!I13)%</f>
        <v>79.047924522506847</v>
      </c>
      <c r="P13" s="45">
        <f>EnrlAll!AW13/('Total Population '!D13+'Total Population '!G13+'Total Population '!J13)%</f>
        <v>86.2242294520548</v>
      </c>
      <c r="Q13" s="45">
        <f>EnrlAll!AX13/('Total Population '!E13+'Total Population '!H13+'Total Population '!K13)%</f>
        <v>82.271015071218557</v>
      </c>
      <c r="R13" s="45">
        <f>EnrlAll!BE13/'Total Population '!L13%</f>
        <v>64.886539877832178</v>
      </c>
      <c r="S13" s="45">
        <f>EnrlAll!BF13/'Total Population '!M13%</f>
        <v>66.946724392258034</v>
      </c>
      <c r="T13" s="45">
        <f>EnrlAll!BG13/'Total Population '!N13%</f>
        <v>65.799186894562695</v>
      </c>
      <c r="U13" s="45">
        <f>(EnrlAll!AS13+EnrlAll!BE13)/('Total Population '!L13+'Total Population '!I13)%</f>
        <v>65.619045587388271</v>
      </c>
      <c r="V13" s="45">
        <f>(EnrlAll!AT13+EnrlAll!BF13)/('Total Population '!M13+'Total Population '!J13)%</f>
        <v>69.50215887548265</v>
      </c>
      <c r="W13" s="45">
        <f>(EnrlAll!AU13+EnrlAll!BG13)/('Total Population '!N13+'Total Population '!K13)%</f>
        <v>67.353821619817481</v>
      </c>
      <c r="X13" s="45">
        <f>EnrlAll!BH13/('Total Population '!C13+'Total Population '!F13+'Total Population '!I13+'Total Population '!L13)%</f>
        <v>76.673841243815446</v>
      </c>
      <c r="Y13" s="45">
        <f>EnrlAll!BI13/('Total Population '!D13+'Total Population '!G13+'Total Population '!J13+'Total Population '!M13)%</f>
        <v>83.05871333077873</v>
      </c>
      <c r="Z13" s="45">
        <f>EnrlAll!BJ13/('Total Population '!E13+'Total Population '!H13+'Total Population '!K13+'Total Population '!N13)%</f>
        <v>79.534967613672805</v>
      </c>
    </row>
    <row r="14" spans="1:62" s="35" customFormat="1" ht="19.5" customHeight="1">
      <c r="A14" s="25">
        <v>9</v>
      </c>
      <c r="B14" s="26" t="s">
        <v>23</v>
      </c>
      <c r="C14" s="45">
        <f>EnrlAll!U14/'Total Population '!C14%</f>
        <v>101.19733261937525</v>
      </c>
      <c r="D14" s="45">
        <f>EnrlAll!V14/'Total Population '!D14%</f>
        <v>102.56553262688232</v>
      </c>
      <c r="E14" s="45">
        <f>EnrlAll!W14/'Total Population '!E14%</f>
        <v>101.84280719757143</v>
      </c>
      <c r="F14" s="45">
        <f>EnrlAll!AG14/'Total Population '!F14%</f>
        <v>103.08815581400005</v>
      </c>
      <c r="G14" s="45">
        <f>EnrlAll!AH14/'Total Population '!G14%</f>
        <v>101.72829355648912</v>
      </c>
      <c r="H14" s="45">
        <f>EnrlAll!AI14/'Total Population '!H14%</f>
        <v>102.44831770896816</v>
      </c>
      <c r="I14" s="45">
        <f>EnrlAll!AJ14/('Total Population '!C14+'Total Population '!F14)%</f>
        <v>101.92249377209515</v>
      </c>
      <c r="J14" s="45">
        <f>EnrlAll!AK14/('Total Population '!D14+'Total Population '!G14)%</f>
        <v>102.2454322710107</v>
      </c>
      <c r="K14" s="45">
        <f>EnrlAll!AL14/('Total Population '!E14+'Total Population '!H14)%</f>
        <v>102.07469132294804</v>
      </c>
      <c r="L14" s="45">
        <f>EnrlAll!AS14/'Total Population '!I14%</f>
        <v>112.49048436450481</v>
      </c>
      <c r="M14" s="45">
        <f>EnrlAll!AT14/'Total Population '!J14%</f>
        <v>111.93808347289701</v>
      </c>
      <c r="N14" s="45">
        <f>EnrlAll!AU14/'Total Population '!K14%</f>
        <v>112.22879452011752</v>
      </c>
      <c r="O14" s="45">
        <f>EnrlAll!AV14/('Total Population '!C14+'Total Population '!F14+'Total Population '!I14)%</f>
        <v>104.08422794611562</v>
      </c>
      <c r="P14" s="45">
        <f>EnrlAll!AW14/('Total Population '!D14+'Total Population '!G14+'Total Population '!J14)%</f>
        <v>104.24360928986032</v>
      </c>
      <c r="Q14" s="45">
        <f>EnrlAll!AX14/('Total Population '!E14+'Total Population '!H14+'Total Population '!K14)%</f>
        <v>104.15942262720748</v>
      </c>
      <c r="R14" s="45">
        <f>EnrlAll!BE14/'Total Population '!L14%</f>
        <v>81.291594588265511</v>
      </c>
      <c r="S14" s="45">
        <f>EnrlAll!BF14/'Total Population '!M14%</f>
        <v>82.751905307884257</v>
      </c>
      <c r="T14" s="45">
        <f>EnrlAll!BG14/'Total Population '!N14%</f>
        <v>81.981712783123172</v>
      </c>
      <c r="U14" s="45">
        <f>(EnrlAll!AS14+EnrlAll!BE14)/('Total Population '!L14+'Total Population '!I14)%</f>
        <v>96.985384935934732</v>
      </c>
      <c r="V14" s="45">
        <f>(EnrlAll!AT14+EnrlAll!BF14)/('Total Population '!M14+'Total Population '!J14)%</f>
        <v>97.466872883835634</v>
      </c>
      <c r="W14" s="45">
        <f>(EnrlAll!AU14+EnrlAll!BG14)/('Total Population '!N14+'Total Population '!K14)%</f>
        <v>97.213206513462254</v>
      </c>
      <c r="X14" s="45">
        <f>EnrlAll!BH14/('Total Population '!C14+'Total Population '!F14+'Total Population '!I14+'Total Population '!L14)%</f>
        <v>100.25234597941864</v>
      </c>
      <c r="Y14" s="45">
        <f>EnrlAll!BI14/('Total Population '!D14+'Total Population '!G14+'Total Population '!J14+'Total Population '!M14)%</f>
        <v>100.62087527924466</v>
      </c>
      <c r="Z14" s="45">
        <f>EnrlAll!BJ14/('Total Population '!E14+'Total Population '!H14+'Total Population '!K14+'Total Population '!N14)%</f>
        <v>100.42626392013922</v>
      </c>
    </row>
    <row r="15" spans="1:62" s="35" customFormat="1" ht="19.5" customHeight="1">
      <c r="A15" s="25">
        <v>10</v>
      </c>
      <c r="B15" s="26" t="s">
        <v>24</v>
      </c>
      <c r="C15" s="45">
        <f>EnrlAll!U15/'Total Population '!C15%</f>
        <v>88.110111887628562</v>
      </c>
      <c r="D15" s="45">
        <f>EnrlAll!V15/'Total Population '!D15%</f>
        <v>91.235139946150483</v>
      </c>
      <c r="E15" s="45">
        <f>EnrlAll!W15/'Total Population '!E15%</f>
        <v>89.583028838045976</v>
      </c>
      <c r="F15" s="45">
        <f>EnrlAll!AG15/'Total Population '!F15%</f>
        <v>79.534120824721569</v>
      </c>
      <c r="G15" s="45">
        <f>EnrlAll!AH15/'Total Population '!G15%</f>
        <v>77.75285625944062</v>
      </c>
      <c r="H15" s="45">
        <f>EnrlAll!AI15/'Total Population '!H15%</f>
        <v>78.690303820507467</v>
      </c>
      <c r="I15" s="45">
        <f>EnrlAll!AJ15/('Total Population '!C15+'Total Population '!F15)%</f>
        <v>84.952919083979722</v>
      </c>
      <c r="J15" s="45">
        <f>EnrlAll!AK15/('Total Population '!D15+'Total Population '!G15)%</f>
        <v>86.241634047665983</v>
      </c>
      <c r="K15" s="45">
        <f>EnrlAll!AL15/('Total Population '!E15+'Total Population '!H15)%</f>
        <v>85.561464615526461</v>
      </c>
      <c r="L15" s="45">
        <f>EnrlAll!AS15/'Total Population '!I15%</f>
        <v>61.466652392677439</v>
      </c>
      <c r="M15" s="45">
        <f>EnrlAll!AT15/'Total Population '!J15%</f>
        <v>57.792359152467313</v>
      </c>
      <c r="N15" s="45">
        <f>EnrlAll!AU15/'Total Population '!K15%</f>
        <v>59.707497265808094</v>
      </c>
      <c r="O15" s="45">
        <f>EnrlAll!AV15/('Total Population '!C15+'Total Population '!F15+'Total Population '!I15)%</f>
        <v>80.478549178555852</v>
      </c>
      <c r="P15" s="45">
        <f>EnrlAll!AW15/('Total Population '!D15+'Total Population '!G15+'Total Population '!J15)%</f>
        <v>80.705371291021038</v>
      </c>
      <c r="Q15" s="45">
        <f>EnrlAll!AX15/('Total Population '!E15+'Total Population '!H15+'Total Population '!K15)%</f>
        <v>80.585943568380372</v>
      </c>
      <c r="R15" s="45">
        <f>EnrlAll!BE15/'Total Population '!L15%</f>
        <v>46.255636227723478</v>
      </c>
      <c r="S15" s="45">
        <f>EnrlAll!BF15/'Total Population '!M15%</f>
        <v>43.714670486614459</v>
      </c>
      <c r="T15" s="45">
        <f>EnrlAll!BG15/'Total Population '!N15%</f>
        <v>45.03321916394998</v>
      </c>
      <c r="U15" s="45">
        <f>(EnrlAll!AS15+EnrlAll!BE15)/('Total Population '!L15+'Total Population '!I15)%</f>
        <v>54.272109048235194</v>
      </c>
      <c r="V15" s="45">
        <f>(EnrlAll!AT15+EnrlAll!BF15)/('Total Population '!M15+'Total Population '!J15)%</f>
        <v>51.101376363725308</v>
      </c>
      <c r="W15" s="45">
        <f>(EnrlAll!AU15+EnrlAll!BG15)/('Total Population '!N15+'Total Population '!K15)%</f>
        <v>52.750573219498072</v>
      </c>
      <c r="X15" s="45">
        <f>EnrlAll!BH15/('Total Population '!C15+'Total Population '!F15+'Total Population '!I15+'Total Population '!L15)%</f>
        <v>75.481583145809097</v>
      </c>
      <c r="Y15" s="45">
        <f>EnrlAll!BI15/('Total Population '!D15+'Total Population '!G15+'Total Population '!J15+'Total Population '!M15)%</f>
        <v>75.162060752054444</v>
      </c>
      <c r="Z15" s="45">
        <f>EnrlAll!BJ15/('Total Population '!E15+'Total Population '!H15+'Total Population '!K15+'Total Population '!N15)%</f>
        <v>75.329938121160026</v>
      </c>
    </row>
    <row r="16" spans="1:62" s="35" customFormat="1" ht="19.5" customHeight="1">
      <c r="A16" s="25">
        <v>11</v>
      </c>
      <c r="B16" s="26" t="s">
        <v>52</v>
      </c>
      <c r="C16" s="45">
        <f>EnrlAll!U16/'Total Population '!C16%</f>
        <v>116.19883518608685</v>
      </c>
      <c r="D16" s="45">
        <f>EnrlAll!V16/'Total Population '!D16%</f>
        <v>118.30451975398189</v>
      </c>
      <c r="E16" s="45">
        <f>EnrlAll!W16/'Total Population '!E16%</f>
        <v>117.22606303851897</v>
      </c>
      <c r="F16" s="45">
        <f>EnrlAll!AG16/'Total Population '!F16%</f>
        <v>76.882803327762758</v>
      </c>
      <c r="G16" s="45">
        <f>EnrlAll!AH16/'Total Population '!G16%</f>
        <v>78.119640963655641</v>
      </c>
      <c r="H16" s="45">
        <f>EnrlAll!AI16/'Total Population '!H16%</f>
        <v>77.48516437136972</v>
      </c>
      <c r="I16" s="45">
        <f>EnrlAll!AJ16/('Total Population '!C16+'Total Population '!F16)%</f>
        <v>102.23563718970327</v>
      </c>
      <c r="J16" s="45">
        <f>EnrlAll!AK16/('Total Population '!D16+'Total Population '!G16)%</f>
        <v>104.06288439429898</v>
      </c>
      <c r="K16" s="45">
        <f>EnrlAll!AL16/('Total Population '!E16+'Total Population '!H16)%</f>
        <v>103.12650276384142</v>
      </c>
      <c r="L16" s="45">
        <f>EnrlAll!AS16/'Total Population '!I16%</f>
        <v>45.237782995432731</v>
      </c>
      <c r="M16" s="45">
        <f>EnrlAll!AT16/'Total Population '!J16%</f>
        <v>43.62572348523441</v>
      </c>
      <c r="N16" s="45">
        <f>EnrlAll!AU16/'Total Population '!K16%</f>
        <v>44.472620966379623</v>
      </c>
      <c r="O16" s="45">
        <f>EnrlAll!AV16/('Total Population '!C16+'Total Population '!F16+'Total Population '!I16)%</f>
        <v>91.451340532529272</v>
      </c>
      <c r="P16" s="45">
        <f>EnrlAll!AW16/('Total Population '!D16+'Total Population '!G16+'Total Population '!J16)%</f>
        <v>93.099166816046306</v>
      </c>
      <c r="Q16" s="45">
        <f>EnrlAll!AX16/('Total Population '!E16+'Total Population '!H16+'Total Population '!K16)%</f>
        <v>92.250789884661245</v>
      </c>
      <c r="R16" s="45">
        <f>EnrlAll!BE16/'Total Population '!L16%</f>
        <v>15.877714341025365</v>
      </c>
      <c r="S16" s="45">
        <f>EnrlAll!BF16/'Total Population '!M16%</f>
        <v>15.700192581552015</v>
      </c>
      <c r="T16" s="45">
        <f>EnrlAll!BG16/'Total Population '!N16%</f>
        <v>15.796340563197116</v>
      </c>
      <c r="U16" s="45">
        <f>(EnrlAll!AS16+EnrlAll!BE16)/('Total Population '!L16+'Total Population '!I16)%</f>
        <v>32.119391699167181</v>
      </c>
      <c r="V16" s="45">
        <f>(EnrlAll!AT16+EnrlAll!BF16)/('Total Population '!M16+'Total Population '!J16)%</f>
        <v>31.597602107094762</v>
      </c>
      <c r="W16" s="45">
        <f>(EnrlAll!AU16+EnrlAll!BG16)/('Total Population '!N16+'Total Population '!K16)%</f>
        <v>31.875452237078463</v>
      </c>
      <c r="X16" s="45">
        <f>EnrlAll!BH16/('Total Population '!C16+'Total Population '!F16+'Total Population '!I16+'Total Population '!L16)%</f>
        <v>81.433101120939952</v>
      </c>
      <c r="Y16" s="45">
        <f>EnrlAll!BI16/('Total Population '!D16+'Total Population '!G16+'Total Population '!J16+'Total Population '!M16)%</f>
        <v>83.757961216231621</v>
      </c>
      <c r="Z16" s="45">
        <f>EnrlAll!BJ16/('Total Population '!E16+'Total Population '!H16+'Total Population '!K16+'Total Population '!N16)%</f>
        <v>82.553122938386181</v>
      </c>
    </row>
    <row r="17" spans="1:26" s="35" customFormat="1" ht="19.5" customHeight="1">
      <c r="A17" s="25">
        <v>12</v>
      </c>
      <c r="B17" s="26" t="s">
        <v>25</v>
      </c>
      <c r="C17" s="45">
        <f>EnrlAll!U17/'Total Population '!C17%</f>
        <v>103.7601619029458</v>
      </c>
      <c r="D17" s="45">
        <f>EnrlAll!V17/'Total Population '!D17%</f>
        <v>101.44622117205377</v>
      </c>
      <c r="E17" s="45">
        <f>EnrlAll!W17/'Total Population '!E17%</f>
        <v>102.63524968586367</v>
      </c>
      <c r="F17" s="45">
        <f>EnrlAll!AG17/'Total Population '!F17%</f>
        <v>91.915234736571946</v>
      </c>
      <c r="G17" s="45">
        <f>EnrlAll!AH17/'Total Population '!G17%</f>
        <v>90.17659929944584</v>
      </c>
      <c r="H17" s="45">
        <f>EnrlAll!AI17/'Total Population '!H17%</f>
        <v>91.069337715986322</v>
      </c>
      <c r="I17" s="45">
        <f>EnrlAll!AJ17/('Total Population '!C17+'Total Population '!F17)%</f>
        <v>99.19356918673887</v>
      </c>
      <c r="J17" s="45">
        <f>EnrlAll!AK17/('Total Population '!D17+'Total Population '!G17)%</f>
        <v>97.097326376036037</v>
      </c>
      <c r="K17" s="45">
        <f>EnrlAll!AL17/('Total Population '!E17+'Total Population '!H17)%</f>
        <v>98.174179697797456</v>
      </c>
      <c r="L17" s="45">
        <f>EnrlAll!AS17/'Total Population '!I17%</f>
        <v>74.540650753840396</v>
      </c>
      <c r="M17" s="45">
        <f>EnrlAll!AT17/'Total Population '!J17%</f>
        <v>76.356284315862766</v>
      </c>
      <c r="N17" s="45">
        <f>EnrlAll!AU17/'Total Population '!K17%</f>
        <v>75.406035432551306</v>
      </c>
      <c r="O17" s="45">
        <f>EnrlAll!AV17/('Total Population '!C17+'Total Population '!F17+'Total Population '!I17)%</f>
        <v>94.02264840503571</v>
      </c>
      <c r="P17" s="45">
        <f>EnrlAll!AW17/('Total Population '!D17+'Total Population '!G17+'Total Population '!J17)%</f>
        <v>92.878505669598212</v>
      </c>
      <c r="Q17" s="45">
        <f>EnrlAll!AX17/('Total Population '!E17+'Total Population '!H17+'Total Population '!K17)%</f>
        <v>93.468544325274763</v>
      </c>
      <c r="R17" s="45">
        <f>EnrlAll!BE17/'Total Population '!L17%</f>
        <v>43.410075285969619</v>
      </c>
      <c r="S17" s="45">
        <f>EnrlAll!BF17/'Total Population '!M17%</f>
        <v>47.488172205335744</v>
      </c>
      <c r="T17" s="45">
        <f>EnrlAll!BG17/'Total Population '!N17%</f>
        <v>45.34489890834697</v>
      </c>
      <c r="U17" s="45">
        <f>(EnrlAll!AS17+EnrlAll!BE17)/('Total Population '!L17+'Total Population '!I17)%</f>
        <v>59.301864135994002</v>
      </c>
      <c r="V17" s="45">
        <f>(EnrlAll!AT17+EnrlAll!BF17)/('Total Population '!M17+'Total Population '!J17)%</f>
        <v>62.288247094808149</v>
      </c>
      <c r="W17" s="45">
        <f>(EnrlAll!AU17+EnrlAll!BG17)/('Total Population '!N17+'Total Population '!K17)%</f>
        <v>60.722072586269924</v>
      </c>
      <c r="X17" s="45">
        <f>EnrlAll!BH17/('Total Population '!C17+'Total Population '!F17+'Total Population '!I17+'Total Population '!L17)%</f>
        <v>85.547535331796766</v>
      </c>
      <c r="Y17" s="45">
        <f>EnrlAll!BI17/('Total Population '!D17+'Total Population '!G17+'Total Population '!J17+'Total Population '!M17)%</f>
        <v>85.524433115410758</v>
      </c>
      <c r="Z17" s="45">
        <f>EnrlAll!BJ17/('Total Population '!E17+'Total Population '!H17+'Total Population '!K17+'Total Population '!N17)%</f>
        <v>85.536384535435417</v>
      </c>
    </row>
    <row r="18" spans="1:26" s="35" customFormat="1" ht="19.5" customHeight="1">
      <c r="A18" s="25">
        <v>13</v>
      </c>
      <c r="B18" s="26" t="s">
        <v>26</v>
      </c>
      <c r="C18" s="45">
        <f>EnrlAll!U18/'Total Population '!C18%</f>
        <v>87.365860328129003</v>
      </c>
      <c r="D18" s="45">
        <f>EnrlAll!V18/'Total Population '!D18%</f>
        <v>87.243562349523486</v>
      </c>
      <c r="E18" s="45">
        <f>EnrlAll!W18/'Total Population '!E18%</f>
        <v>87.305964760859837</v>
      </c>
      <c r="F18" s="45">
        <f>EnrlAll!AG18/'Total Population '!F18%</f>
        <v>97.766092348499825</v>
      </c>
      <c r="G18" s="45">
        <f>EnrlAll!AH18/'Total Population '!G18%</f>
        <v>95.176490457692964</v>
      </c>
      <c r="H18" s="45">
        <f>EnrlAll!AI18/'Total Population '!H18%</f>
        <v>96.494779420909566</v>
      </c>
      <c r="I18" s="45">
        <f>EnrlAll!AJ18/('Total Population '!C18+'Total Population '!F18)%</f>
        <v>91.433057310554517</v>
      </c>
      <c r="J18" s="45">
        <f>EnrlAll!AK18/('Total Population '!D18+'Total Population '!G18)%</f>
        <v>90.35479125987824</v>
      </c>
      <c r="K18" s="45">
        <f>EnrlAll!AL18/('Total Population '!E18+'Total Population '!H18)%</f>
        <v>90.904477578708295</v>
      </c>
      <c r="L18" s="45">
        <f>EnrlAll!AS18/'Total Population '!I18%</f>
        <v>99.644764981164485</v>
      </c>
      <c r="M18" s="45">
        <f>EnrlAll!AT18/'Total Population '!J18%</f>
        <v>99.442865264354751</v>
      </c>
      <c r="N18" s="45">
        <f>EnrlAll!AU18/'Total Population '!K18%</f>
        <v>99.545869549338988</v>
      </c>
      <c r="O18" s="45">
        <f>EnrlAll!AV18/('Total Population '!C18+'Total Population '!F18+'Total Population '!I18)%</f>
        <v>93.097520596403356</v>
      </c>
      <c r="P18" s="45">
        <f>EnrlAll!AW18/('Total Population '!D18+'Total Population '!G18+'Total Population '!J18)%</f>
        <v>92.194608211602258</v>
      </c>
      <c r="Q18" s="45">
        <f>EnrlAll!AX18/('Total Population '!E18+'Total Population '!H18+'Total Population '!K18)%</f>
        <v>92.654972464793104</v>
      </c>
      <c r="R18" s="45">
        <f>EnrlAll!BE18/'Total Population '!L18%</f>
        <v>72.022730780884643</v>
      </c>
      <c r="S18" s="45">
        <f>EnrlAll!BF18/'Total Population '!M18%</f>
        <v>84.716573474641194</v>
      </c>
      <c r="T18" s="45">
        <f>EnrlAll!BG18/'Total Population '!N18%</f>
        <v>78.265038489700572</v>
      </c>
      <c r="U18" s="45">
        <f>(EnrlAll!AS18+EnrlAll!BE18)/('Total Population '!L18+'Total Population '!I18)%</f>
        <v>86.267553639196109</v>
      </c>
      <c r="V18" s="45">
        <f>(EnrlAll!AT18+EnrlAll!BF18)/('Total Population '!M18+'Total Population '!J18)%</f>
        <v>92.282528336723388</v>
      </c>
      <c r="W18" s="45">
        <f>(EnrlAll!AU18+EnrlAll!BG18)/('Total Population '!N18+'Total Population '!K18)%</f>
        <v>89.219481107867225</v>
      </c>
      <c r="X18" s="45">
        <f>EnrlAll!BH18/('Total Population '!C18+'Total Population '!F18+'Total Population '!I18+'Total Population '!L18)%</f>
        <v>89.727454432259464</v>
      </c>
      <c r="Y18" s="45">
        <f>EnrlAll!BI18/('Total Population '!D18+'Total Population '!G18+'Total Population '!J18+'Total Population '!M18)%</f>
        <v>90.992251975006951</v>
      </c>
      <c r="Z18" s="45">
        <f>EnrlAll!BJ18/('Total Population '!E18+'Total Population '!H18+'Total Population '!K18+'Total Population '!N18)%</f>
        <v>90.347704282089268</v>
      </c>
    </row>
    <row r="19" spans="1:26" s="35" customFormat="1" ht="19.5" customHeight="1">
      <c r="A19" s="25">
        <v>14</v>
      </c>
      <c r="B19" s="26" t="s">
        <v>27</v>
      </c>
      <c r="C19" s="45">
        <f>EnrlAll!U19/'Total Population '!C19%</f>
        <v>121.63061840700146</v>
      </c>
      <c r="D19" s="45">
        <f>EnrlAll!V19/'Total Population '!D19%</f>
        <v>127.10313197456725</v>
      </c>
      <c r="E19" s="45">
        <f>EnrlAll!W19/'Total Population '!E19%</f>
        <v>124.26314425287673</v>
      </c>
      <c r="F19" s="45">
        <f>EnrlAll!AG19/'Total Population '!F19%</f>
        <v>93.283330396919283</v>
      </c>
      <c r="G19" s="45">
        <f>EnrlAll!AH19/'Total Population '!G19%</f>
        <v>97.803818835195884</v>
      </c>
      <c r="H19" s="45">
        <f>EnrlAll!AI19/'Total Population '!H19%</f>
        <v>95.464491780454637</v>
      </c>
      <c r="I19" s="45">
        <f>EnrlAll!AJ19/('Total Population '!C19+'Total Population '!F19)%</f>
        <v>111.22202863669311</v>
      </c>
      <c r="J19" s="45">
        <f>EnrlAll!AK19/('Total Population '!D19+'Total Population '!G19)%</f>
        <v>116.30511825696388</v>
      </c>
      <c r="K19" s="45">
        <f>EnrlAll!AL19/('Total Population '!E19+'Total Population '!H19)%</f>
        <v>113.66995492359567</v>
      </c>
      <c r="L19" s="45">
        <f>EnrlAll!AS19/'Total Population '!I19%</f>
        <v>80.480788974862037</v>
      </c>
      <c r="M19" s="45">
        <f>EnrlAll!AT19/'Total Population '!J19%</f>
        <v>55.385876664893757</v>
      </c>
      <c r="N19" s="45">
        <f>EnrlAll!AU19/'Total Population '!K19%</f>
        <v>68.575091272322922</v>
      </c>
      <c r="O19" s="45">
        <f>EnrlAll!AV19/('Total Population '!C19+'Total Population '!F19+'Total Population '!I19)%</f>
        <v>105.28059354173301</v>
      </c>
      <c r="P19" s="45">
        <f>EnrlAll!AW19/('Total Population '!D19+'Total Population '!G19+'Total Population '!J19)%</f>
        <v>104.80111249968031</v>
      </c>
      <c r="Q19" s="45">
        <f>EnrlAll!AX19/('Total Population '!E19+'Total Population '!H19+'Total Population '!K19)%</f>
        <v>105.05033974183556</v>
      </c>
      <c r="R19" s="45">
        <f>EnrlAll!BE19/'Total Population '!L19%</f>
        <v>60.921211228987048</v>
      </c>
      <c r="S19" s="45">
        <f>EnrlAll!BF19/'Total Population '!M19%</f>
        <v>46.50258421174361</v>
      </c>
      <c r="T19" s="45">
        <f>EnrlAll!BG19/'Total Population '!N19%</f>
        <v>54.215044948386343</v>
      </c>
      <c r="U19" s="45">
        <f>(EnrlAll!AS19+EnrlAll!BE19)/('Total Population '!L19+'Total Population '!I19)%</f>
        <v>71.199538200153185</v>
      </c>
      <c r="V19" s="45">
        <f>(EnrlAll!AT19+EnrlAll!BF19)/('Total Population '!M19+'Total Population '!J19)%</f>
        <v>51.253464656547621</v>
      </c>
      <c r="W19" s="45">
        <f>(EnrlAll!AU19+EnrlAll!BG19)/('Total Population '!N19+'Total Population '!K19)%</f>
        <v>61.824005674751895</v>
      </c>
      <c r="X19" s="45">
        <f>EnrlAll!BH19/('Total Population '!C19+'Total Population '!F19+'Total Population '!I19+'Total Population '!L19)%</f>
        <v>98.689191282212832</v>
      </c>
      <c r="Y19" s="45">
        <f>EnrlAll!BI19/('Total Population '!D19+'Total Population '!G19+'Total Population '!J19+'Total Population '!M19)%</f>
        <v>96.576171013580321</v>
      </c>
      <c r="Z19" s="45">
        <f>EnrlAll!BJ19/('Total Population '!E19+'Total Population '!H19+'Total Population '!K19+'Total Population '!N19)%</f>
        <v>97.679117748498214</v>
      </c>
    </row>
    <row r="20" spans="1:26" s="35" customFormat="1" ht="19.5" customHeight="1">
      <c r="A20" s="25">
        <v>15</v>
      </c>
      <c r="B20" s="26" t="s">
        <v>28</v>
      </c>
      <c r="C20" s="45">
        <f>EnrlAll!U20/'Total Population '!C20%</f>
        <v>102.47061648173874</v>
      </c>
      <c r="D20" s="45">
        <f>EnrlAll!V20/'Total Population '!D20%</f>
        <v>101.62191187106743</v>
      </c>
      <c r="E20" s="45">
        <f>EnrlAll!W20/'Total Population '!E20%</f>
        <v>102.0693725302048</v>
      </c>
      <c r="F20" s="45">
        <f>EnrlAll!AG20/'Total Population '!F20%</f>
        <v>93.493954113966225</v>
      </c>
      <c r="G20" s="45">
        <f>EnrlAll!AH20/'Total Population '!G20%</f>
        <v>90.937491973727532</v>
      </c>
      <c r="H20" s="45">
        <f>EnrlAll!AI20/'Total Population '!H20%</f>
        <v>92.284648189651847</v>
      </c>
      <c r="I20" s="45">
        <f>EnrlAll!AJ20/('Total Population '!C20+'Total Population '!F20)%</f>
        <v>99.016472243566199</v>
      </c>
      <c r="J20" s="45">
        <f>EnrlAll!AK20/('Total Population '!D20+'Total Population '!G20)%</f>
        <v>97.507930881246139</v>
      </c>
      <c r="K20" s="45">
        <f>EnrlAll!AL20/('Total Population '!E20+'Total Population '!H20)%</f>
        <v>98.303120984165048</v>
      </c>
      <c r="L20" s="45">
        <f>EnrlAll!AS20/'Total Population '!I20%</f>
        <v>75.365843674895373</v>
      </c>
      <c r="M20" s="45">
        <f>EnrlAll!AT20/'Total Population '!J20%</f>
        <v>72.982166933059801</v>
      </c>
      <c r="N20" s="45">
        <f>EnrlAll!AU20/'Total Population '!K20%</f>
        <v>74.244408451039703</v>
      </c>
      <c r="O20" s="45">
        <f>EnrlAll!AV20/('Total Population '!C20+'Total Population '!F20+'Total Population '!I20)%</f>
        <v>94.193791541251031</v>
      </c>
      <c r="P20" s="45">
        <f>EnrlAll!AW20/('Total Population '!D20+'Total Population '!G20+'Total Population '!J20)%</f>
        <v>92.545197702201918</v>
      </c>
      <c r="Q20" s="45">
        <f>EnrlAll!AX20/('Total Population '!E20+'Total Population '!H20+'Total Population '!K20)%</f>
        <v>93.415020344725249</v>
      </c>
      <c r="R20" s="45">
        <f>EnrlAll!BE20/'Total Population '!L20%</f>
        <v>59.28426486042266</v>
      </c>
      <c r="S20" s="45">
        <f>EnrlAll!BF20/'Total Population '!M20%</f>
        <v>54.791600427399203</v>
      </c>
      <c r="T20" s="45">
        <f>EnrlAll!BG20/'Total Population '!N20%</f>
        <v>57.207452799216377</v>
      </c>
      <c r="U20" s="45">
        <f>(EnrlAll!AS20+EnrlAll!BE20)/('Total Population '!L20+'Total Population '!I20)%</f>
        <v>67.38268287147045</v>
      </c>
      <c r="V20" s="45">
        <f>(EnrlAll!AT20+EnrlAll!BF20)/('Total Population '!M20+'Total Population '!J20)%</f>
        <v>64.101822599235476</v>
      </c>
      <c r="W20" s="45">
        <f>(EnrlAll!AU20+EnrlAll!BG20)/('Total Population '!N20+'Total Population '!K20)%</f>
        <v>65.85240184573837</v>
      </c>
      <c r="X20" s="45">
        <f>EnrlAll!BH20/('Total Population '!C20+'Total Population '!F20+'Total Population '!I20+'Total Population '!L20)%</f>
        <v>88.351040654349248</v>
      </c>
      <c r="Y20" s="45">
        <f>EnrlAll!BI20/('Total Population '!D20+'Total Population '!G20+'Total Population '!J20+'Total Population '!M20)%</f>
        <v>86.437405046094824</v>
      </c>
      <c r="Z20" s="45">
        <f>EnrlAll!BJ20/('Total Population '!E20+'Total Population '!H20+'Total Population '!K20+'Total Population '!N20)%</f>
        <v>87.450257283535848</v>
      </c>
    </row>
    <row r="21" spans="1:26" s="35" customFormat="1" ht="19.5" customHeight="1">
      <c r="A21" s="25">
        <v>16</v>
      </c>
      <c r="B21" s="26" t="s">
        <v>29</v>
      </c>
      <c r="C21" s="45">
        <f>EnrlAll!U21/'Total Population '!C21%</f>
        <v>130.92796343232195</v>
      </c>
      <c r="D21" s="45">
        <f>EnrlAll!V21/'Total Population '!D21%</f>
        <v>135.83169018423811</v>
      </c>
      <c r="E21" s="45">
        <f>EnrlAll!W21/'Total Population '!E21%</f>
        <v>133.31831527411711</v>
      </c>
      <c r="F21" s="45">
        <f>EnrlAll!AG21/'Total Population '!F21%</f>
        <v>82.852929186350451</v>
      </c>
      <c r="G21" s="45">
        <f>EnrlAll!AH21/'Total Population '!G21%</f>
        <v>87.262507026419343</v>
      </c>
      <c r="H21" s="45">
        <f>EnrlAll!AI21/'Total Population '!H21%</f>
        <v>85.012572113766922</v>
      </c>
      <c r="I21" s="45">
        <f>EnrlAll!AJ21/('Total Population '!C21+'Total Population '!F21)%</f>
        <v>112.69575656159626</v>
      </c>
      <c r="J21" s="45">
        <f>EnrlAll!AK21/('Total Population '!D21+'Total Population '!G21)%</f>
        <v>117.30645537837027</v>
      </c>
      <c r="K21" s="45">
        <f>EnrlAll!AL21/('Total Population '!E21+'Total Population '!H21)%</f>
        <v>114.94731307133733</v>
      </c>
      <c r="L21" s="45">
        <f>EnrlAll!AS21/'Total Population '!I21%</f>
        <v>58.91690690800278</v>
      </c>
      <c r="M21" s="45">
        <f>EnrlAll!AT21/'Total Population '!J21%</f>
        <v>61.621248577770317</v>
      </c>
      <c r="N21" s="45">
        <f>EnrlAll!AU21/'Total Population '!K21%</f>
        <v>60.254198987262377</v>
      </c>
      <c r="O21" s="45">
        <f>EnrlAll!AV21/('Total Population '!C21+'Total Population '!F21+'Total Population '!I21)%</f>
        <v>101.96707944758703</v>
      </c>
      <c r="P21" s="45">
        <f>EnrlAll!AW21/('Total Population '!D21+'Total Population '!G21+'Total Population '!J21)%</f>
        <v>105.97647058823529</v>
      </c>
      <c r="Q21" s="45">
        <f>EnrlAll!AX21/('Total Population '!E21+'Total Population '!H21+'Total Population '!K21)%</f>
        <v>103.92997684970142</v>
      </c>
      <c r="R21" s="45">
        <f>EnrlAll!BE21/'Total Population '!L21%</f>
        <v>42.42956256874524</v>
      </c>
      <c r="S21" s="45">
        <f>EnrlAll!BF21/'Total Population '!M21%</f>
        <v>38.744776974144692</v>
      </c>
      <c r="T21" s="45">
        <f>EnrlAll!BG21/'Total Population '!N21%</f>
        <v>40.589686834775428</v>
      </c>
      <c r="U21" s="45">
        <f>(EnrlAll!AS21+EnrlAll!BE21)/('Total Population '!L21+'Total Population '!I21)%</f>
        <v>51.28132285809447</v>
      </c>
      <c r="V21" s="45">
        <f>(EnrlAll!AT21+EnrlAll!BF21)/('Total Population '!M21+'Total Population '!J21)%</f>
        <v>50.917030567685586</v>
      </c>
      <c r="W21" s="45">
        <f>(EnrlAll!AU21+EnrlAll!BG21)/('Total Population '!N21+'Total Population '!K21)%</f>
        <v>51.10036382997604</v>
      </c>
      <c r="X21" s="45">
        <f>EnrlAll!BH21/('Total Population '!C21+'Total Population '!F21+'Total Population '!I21+'Total Population '!L21)%</f>
        <v>93.225734321331188</v>
      </c>
      <c r="Y21" s="45">
        <f>EnrlAll!BI21/('Total Population '!D21+'Total Population '!G21+'Total Population '!J21+'Total Population '!M21)%</f>
        <v>95.772693764948642</v>
      </c>
      <c r="Z21" s="45">
        <f>EnrlAll!BJ21/('Total Population '!E21+'Total Population '!H21+'Total Population '!K21+'Total Population '!N21)%</f>
        <v>94.476365102071469</v>
      </c>
    </row>
    <row r="22" spans="1:26" s="35" customFormat="1" ht="19.5" customHeight="1">
      <c r="A22" s="25">
        <v>17</v>
      </c>
      <c r="B22" s="26" t="s">
        <v>30</v>
      </c>
      <c r="C22" s="45">
        <f>EnrlAll!U22/'Total Population '!C22%</f>
        <v>128.86521867894126</v>
      </c>
      <c r="D22" s="45">
        <f>EnrlAll!V22/'Total Population '!D22%</f>
        <v>134.42585602518497</v>
      </c>
      <c r="E22" s="45">
        <f>EnrlAll!W22/'Total Population '!E22%</f>
        <v>131.60239582005863</v>
      </c>
      <c r="F22" s="45">
        <f>EnrlAll!AG22/'Total Population '!F22%</f>
        <v>77.851915250388643</v>
      </c>
      <c r="G22" s="45">
        <f>EnrlAll!AH22/'Total Population '!G22%</f>
        <v>89.49306449306448</v>
      </c>
      <c r="H22" s="45">
        <f>EnrlAll!AI22/'Total Population '!H22%</f>
        <v>83.60528291885683</v>
      </c>
      <c r="I22" s="45">
        <f>EnrlAll!AJ22/('Total Population '!C22+'Total Population '!F22)%</f>
        <v>110.2463654011048</v>
      </c>
      <c r="J22" s="45">
        <f>EnrlAll!AK22/('Total Population '!D22+'Total Population '!G22)%</f>
        <v>117.94347237385212</v>
      </c>
      <c r="K22" s="45">
        <f>EnrlAll!AL22/('Total Population '!E22+'Total Population '!H22)%</f>
        <v>114.04079257846593</v>
      </c>
      <c r="L22" s="45">
        <f>EnrlAll!AS22/'Total Population '!I22%</f>
        <v>50.420156376081692</v>
      </c>
      <c r="M22" s="45">
        <f>EnrlAll!AT22/'Total Population '!J22%</f>
        <v>59.080101896405317</v>
      </c>
      <c r="N22" s="45">
        <f>EnrlAll!AU22/'Total Population '!K22%</f>
        <v>54.713129130477483</v>
      </c>
      <c r="O22" s="45">
        <f>EnrlAll!AV22/('Total Population '!C22+'Total Population '!F22+'Total Population '!I22)%</f>
        <v>99.09439599169086</v>
      </c>
      <c r="P22" s="45">
        <f>EnrlAll!AW22/('Total Population '!D22+'Total Population '!G22+'Total Population '!J22)%</f>
        <v>106.87209026855373</v>
      </c>
      <c r="Q22" s="45">
        <f>EnrlAll!AX22/('Total Population '!E22+'Total Population '!H22+'Total Population '!K22)%</f>
        <v>102.93256865428924</v>
      </c>
      <c r="R22" s="45">
        <f>EnrlAll!BE22/'Total Population '!L22%</f>
        <v>12.980388050323873</v>
      </c>
      <c r="S22" s="45">
        <f>EnrlAll!BF22/'Total Population '!M22%</f>
        <v>17.228423884473855</v>
      </c>
      <c r="T22" s="45">
        <f>EnrlAll!BG22/'Total Population '!N22%</f>
        <v>15.069378445162517</v>
      </c>
      <c r="U22" s="45">
        <f>(EnrlAll!AS22+EnrlAll!BE22)/('Total Population '!L22+'Total Population '!I22)%</f>
        <v>32.379167417552715</v>
      </c>
      <c r="V22" s="45">
        <f>(EnrlAll!AT22+EnrlAll!BF22)/('Total Population '!M22+'Total Population '!J22)%</f>
        <v>39.079194313496579</v>
      </c>
      <c r="W22" s="45">
        <f>(EnrlAll!AU22+EnrlAll!BG22)/('Total Population '!N22+'Total Population '!K22)%</f>
        <v>35.687779817049361</v>
      </c>
      <c r="X22" s="45">
        <f>EnrlAll!BH22/('Total Population '!C22+'Total Population '!F22+'Total Population '!I22+'Total Population '!L22)%</f>
        <v>86.371412279034402</v>
      </c>
      <c r="Y22" s="45">
        <f>EnrlAll!BI22/('Total Population '!D22+'Total Population '!G22+'Total Population '!J22+'Total Population '!M22)%</f>
        <v>93.705561623864284</v>
      </c>
      <c r="Z22" s="45">
        <f>EnrlAll!BJ22/('Total Population '!E22+'Total Population '!H22+'Total Population '!K22+'Total Population '!N22)%</f>
        <v>89.988832922828436</v>
      </c>
    </row>
    <row r="23" spans="1:26" s="35" customFormat="1" ht="19.5" customHeight="1">
      <c r="A23" s="25">
        <v>18</v>
      </c>
      <c r="B23" s="26" t="s">
        <v>31</v>
      </c>
      <c r="C23" s="45">
        <f>EnrlAll!U23/'Total Population '!C23%</f>
        <v>124.8676550620908</v>
      </c>
      <c r="D23" s="45">
        <f>EnrlAll!V23/'Total Population '!D23%</f>
        <v>117.64655701904047</v>
      </c>
      <c r="E23" s="45">
        <f>EnrlAll!W23/'Total Population '!E23%</f>
        <v>121.31841776450956</v>
      </c>
      <c r="F23" s="45">
        <f>EnrlAll!AG23/'Total Population '!F23%</f>
        <v>95.284783224709557</v>
      </c>
      <c r="G23" s="45">
        <f>EnrlAll!AH23/'Total Population '!G23%</f>
        <v>90.480837473385378</v>
      </c>
      <c r="H23" s="45">
        <f>EnrlAll!AI23/'Total Population '!H23%</f>
        <v>92.934043353688537</v>
      </c>
      <c r="I23" s="45">
        <f>EnrlAll!AJ23/('Total Population '!C23+'Total Population '!F23)%</f>
        <v>113.98459245050924</v>
      </c>
      <c r="J23" s="45">
        <f>EnrlAll!AK23/('Total Population '!D23+'Total Population '!G23)%</f>
        <v>107.70762106720908</v>
      </c>
      <c r="K23" s="45">
        <f>EnrlAll!AL23/('Total Population '!E23+'Total Population '!H23)%</f>
        <v>110.90440922725705</v>
      </c>
      <c r="L23" s="45">
        <f>EnrlAll!AS23/'Total Population '!I23%</f>
        <v>78.550813363652267</v>
      </c>
      <c r="M23" s="45">
        <f>EnrlAll!AT23/'Total Population '!J23%</f>
        <v>82.539898440333701</v>
      </c>
      <c r="N23" s="45">
        <f>EnrlAll!AU23/'Total Population '!K23%</f>
        <v>80.509304603330065</v>
      </c>
      <c r="O23" s="45">
        <f>EnrlAll!AV23/('Total Population '!C23+'Total Population '!F23+'Total Population '!I23)%</f>
        <v>107.16360116166504</v>
      </c>
      <c r="P23" s="45">
        <f>EnrlAll!AW23/('Total Population '!D23+'Total Population '!G23+'Total Population '!J23)%</f>
        <v>102.85891478285176</v>
      </c>
      <c r="Q23" s="45">
        <f>EnrlAll!AX23/('Total Population '!E23+'Total Population '!H23+'Total Population '!K23)%</f>
        <v>105.05103331204266</v>
      </c>
      <c r="R23" s="45">
        <f>EnrlAll!BE23/'Total Population '!L23%</f>
        <v>45.515024333616111</v>
      </c>
      <c r="S23" s="45">
        <f>EnrlAll!BF23/'Total Population '!M23%</f>
        <v>46.706920575940543</v>
      </c>
      <c r="T23" s="45">
        <f>EnrlAll!BG23/'Total Population '!N23%</f>
        <v>46.099210053042547</v>
      </c>
      <c r="U23" s="45">
        <f>(EnrlAll!AS23+EnrlAll!BE23)/('Total Population '!L23+'Total Population '!I23)%</f>
        <v>62.204793990942235</v>
      </c>
      <c r="V23" s="45">
        <f>(EnrlAll!AT23+EnrlAll!BF23)/('Total Population '!M23+'Total Population '!J23)%</f>
        <v>64.839627403294628</v>
      </c>
      <c r="W23" s="45">
        <f>(EnrlAll!AU23+EnrlAll!BG23)/('Total Population '!N23+'Total Population '!K23)%</f>
        <v>63.497315730830266</v>
      </c>
      <c r="X23" s="45">
        <f>EnrlAll!BH23/('Total Population '!C23+'Total Population '!F23+'Total Population '!I23+'Total Population '!L23)%</f>
        <v>97.384412714601382</v>
      </c>
      <c r="Y23" s="45">
        <f>EnrlAll!BI23/('Total Population '!D23+'Total Population '!G23+'Total Population '!J23+'Total Population '!M23)%</f>
        <v>93.970473627714782</v>
      </c>
      <c r="Z23" s="45">
        <f>EnrlAll!BJ23/('Total Population '!E23+'Total Population '!H23+'Total Population '!K23+'Total Population '!N23)%</f>
        <v>95.709328080921765</v>
      </c>
    </row>
    <row r="24" spans="1:26" s="35" customFormat="1" ht="19.5" customHeight="1">
      <c r="A24" s="25">
        <v>19</v>
      </c>
      <c r="B24" s="26" t="s">
        <v>54</v>
      </c>
      <c r="C24" s="45">
        <f>EnrlAll!U24/'Total Population '!C24%</f>
        <v>91.055368859017449</v>
      </c>
      <c r="D24" s="45">
        <f>EnrlAll!V24/'Total Population '!D24%</f>
        <v>90.985794601090092</v>
      </c>
      <c r="E24" s="45">
        <f>EnrlAll!W24/'Total Population '!E24%</f>
        <v>91.021802596434568</v>
      </c>
      <c r="F24" s="45">
        <f>EnrlAll!AG24/'Total Population '!F24%</f>
        <v>60.170708151705774</v>
      </c>
      <c r="G24" s="45">
        <f>EnrlAll!AH24/'Total Population '!G24%</f>
        <v>62.442683272006789</v>
      </c>
      <c r="H24" s="45">
        <f>EnrlAll!AI24/'Total Population '!H24%</f>
        <v>61.260710745372826</v>
      </c>
      <c r="I24" s="45">
        <f>EnrlAll!AJ24/('Total Population '!C24+'Total Population '!F24)%</f>
        <v>79.31716947252508</v>
      </c>
      <c r="J24" s="45">
        <f>EnrlAll!AK24/('Total Population '!D24+'Total Population '!G24)%</f>
        <v>80.20997515561136</v>
      </c>
      <c r="K24" s="45">
        <f>EnrlAll!AL24/('Total Population '!E24+'Total Population '!H24)%</f>
        <v>79.746994986714412</v>
      </c>
      <c r="L24" s="45">
        <f>EnrlAll!AS24/'Total Population '!I24%</f>
        <v>45.730408018309525</v>
      </c>
      <c r="M24" s="45">
        <f>EnrlAll!AT24/'Total Population '!J24%</f>
        <v>48.775902584917752</v>
      </c>
      <c r="N24" s="45">
        <f>EnrlAll!AU24/'Total Population '!K24%</f>
        <v>47.192647752682213</v>
      </c>
      <c r="O24" s="45">
        <f>EnrlAll!AV24/('Total Population '!C24+'Total Population '!F24+'Total Population '!I24)%</f>
        <v>72.569623363959948</v>
      </c>
      <c r="P24" s="45">
        <f>EnrlAll!AW24/('Total Population '!D24+'Total Population '!G24+'Total Population '!J24)%</f>
        <v>73.921145421519398</v>
      </c>
      <c r="Q24" s="45">
        <f>EnrlAll!AX24/('Total Population '!E24+'Total Population '!H24+'Total Population '!K24)%</f>
        <v>73.219937441003907</v>
      </c>
      <c r="R24" s="45">
        <f>EnrlAll!BE24/'Total Population '!L24%</f>
        <v>28.061978954587342</v>
      </c>
      <c r="S24" s="45">
        <f>EnrlAll!BF24/'Total Population '!M24%</f>
        <v>26.992582602832098</v>
      </c>
      <c r="T24" s="45">
        <f>EnrlAll!BG24/'Total Population '!N24%</f>
        <v>27.540016017377759</v>
      </c>
      <c r="U24" s="45">
        <f>(EnrlAll!AS24+EnrlAll!BE24)/('Total Population '!L24+'Total Population '!I24)%</f>
        <v>37.261287174482511</v>
      </c>
      <c r="V24" s="45">
        <f>(EnrlAll!AT24+EnrlAll!BF24)/('Total Population '!M24+'Total Population '!J24)%</f>
        <v>38.161007667031761</v>
      </c>
      <c r="W24" s="45">
        <f>(EnrlAll!AU24+EnrlAll!BG24)/('Total Population '!N24+'Total Population '!K24)%</f>
        <v>37.696731956850165</v>
      </c>
      <c r="X24" s="45">
        <f>EnrlAll!BH24/('Total Population '!C24+'Total Population '!F24+'Total Population '!I24+'Total Population '!L24)%</f>
        <v>65.622668901176468</v>
      </c>
      <c r="Y24" s="45">
        <f>EnrlAll!BI24/('Total Population '!D24+'Total Population '!G24+'Total Population '!J24+'Total Population '!M24)%</f>
        <v>66.423428438044283</v>
      </c>
      <c r="Z24" s="45">
        <f>EnrlAll!BJ24/('Total Population '!E24+'Total Population '!H24+'Total Population '!K24+'Total Population '!N24)%</f>
        <v>66.00884636966326</v>
      </c>
    </row>
    <row r="25" spans="1:26" s="35" customFormat="1" ht="19.5" customHeight="1">
      <c r="A25" s="25">
        <v>20</v>
      </c>
      <c r="B25" s="2" t="s">
        <v>55</v>
      </c>
      <c r="C25" s="45">
        <f>EnrlAll!U25/'Total Population '!C25%</f>
        <v>107.57489878542511</v>
      </c>
      <c r="D25" s="45">
        <f>EnrlAll!V25/'Total Population '!D25%</f>
        <v>105.75679632702916</v>
      </c>
      <c r="E25" s="45">
        <f>EnrlAll!W25/'Total Population '!E25%</f>
        <v>106.68510620602592</v>
      </c>
      <c r="F25" s="45">
        <f>EnrlAll!AG25/'Total Population '!F25%</f>
        <v>75.175145055058607</v>
      </c>
      <c r="G25" s="45">
        <f>EnrlAll!AH25/'Total Population '!G25%</f>
        <v>73.307956158365442</v>
      </c>
      <c r="H25" s="45">
        <f>EnrlAll!AI25/'Total Population '!H25%</f>
        <v>74.254459875086908</v>
      </c>
      <c r="I25" s="45">
        <f>EnrlAll!AJ25/('Total Population '!C25+'Total Population '!F25)%</f>
        <v>95.18052747298745</v>
      </c>
      <c r="J25" s="45">
        <f>EnrlAll!AK25/('Total Population '!D25+'Total Population '!G25)%</f>
        <v>93.230627920497326</v>
      </c>
      <c r="K25" s="45">
        <f>EnrlAll!AL25/('Total Population '!E25+'Total Population '!H25)%</f>
        <v>94.223475934467544</v>
      </c>
      <c r="L25" s="45">
        <f>EnrlAll!AS25/'Total Population '!I25%</f>
        <v>61.04231491604294</v>
      </c>
      <c r="M25" s="45">
        <f>EnrlAll!AT25/'Total Population '!J25%</f>
        <v>56.17355511541242</v>
      </c>
      <c r="N25" s="45">
        <f>EnrlAll!AU25/'Total Population '!K25%</f>
        <v>58.613498009833762</v>
      </c>
      <c r="O25" s="45">
        <f>EnrlAll!AV25/('Total Population '!C25+'Total Population '!F25+'Total Population '!I25)%</f>
        <v>88.377745668237907</v>
      </c>
      <c r="P25" s="45">
        <f>EnrlAll!AW25/('Total Population '!D25+'Total Population '!G25+'Total Population '!J25)%</f>
        <v>85.65426017832948</v>
      </c>
      <c r="Q25" s="45">
        <f>EnrlAll!AX25/('Total Population '!E25+'Total Population '!H25+'Total Population '!K25)%</f>
        <v>87.036584622465469</v>
      </c>
      <c r="R25" s="45">
        <f>EnrlAll!BE25/'Total Population '!L25%</f>
        <v>34.431811686314433</v>
      </c>
      <c r="S25" s="45">
        <f>EnrlAll!BF25/'Total Population '!M25%</f>
        <v>23.032018614711522</v>
      </c>
      <c r="T25" s="45">
        <f>EnrlAll!BG25/'Total Population '!N25%</f>
        <v>28.741433769250591</v>
      </c>
      <c r="U25" s="45">
        <f>(EnrlAll!AS25+EnrlAll!BE25)/('Total Population '!L25+'Total Population '!I25)%</f>
        <v>48.752173262615607</v>
      </c>
      <c r="V25" s="45">
        <f>(EnrlAll!AT25+EnrlAll!BF25)/('Total Population '!M25+'Total Population '!J25)%</f>
        <v>40.856900159790783</v>
      </c>
      <c r="W25" s="45">
        <f>(EnrlAll!AU25+EnrlAll!BG25)/('Total Population '!N25+'Total Population '!K25)%</f>
        <v>44.812435718743956</v>
      </c>
      <c r="X25" s="45">
        <f>EnrlAll!BH25/('Total Population '!C25+'Total Population '!F25+'Total Population '!I25+'Total Population '!L25)%</f>
        <v>80.499258821691456</v>
      </c>
      <c r="Y25" s="45">
        <f>EnrlAll!BI25/('Total Population '!D25+'Total Population '!G25+'Total Population '!J25+'Total Population '!M25)%</f>
        <v>76.296628215707358</v>
      </c>
      <c r="Z25" s="45">
        <f>EnrlAll!BJ25/('Total Population '!E25+'Total Population '!H25+'Total Population '!K25+'Total Population '!N25)%</f>
        <v>78.425530252519991</v>
      </c>
    </row>
    <row r="26" spans="1:26" s="35" customFormat="1" ht="19.5" customHeight="1">
      <c r="A26" s="25">
        <v>21</v>
      </c>
      <c r="B26" s="26" t="s">
        <v>74</v>
      </c>
      <c r="C26" s="45">
        <f>EnrlAll!U26/'Total Population '!C26%</f>
        <v>106.65857608189856</v>
      </c>
      <c r="D26" s="45">
        <f>EnrlAll!V26/'Total Population '!D26%</f>
        <v>106.63741243117285</v>
      </c>
      <c r="E26" s="45">
        <f>EnrlAll!W26/'Total Population '!E26%</f>
        <v>106.64912810718333</v>
      </c>
      <c r="F26" s="45">
        <f>EnrlAll!AG26/'Total Population '!F26%</f>
        <v>92.842849692882382</v>
      </c>
      <c r="G26" s="45">
        <f>EnrlAll!AH26/'Total Population '!G26%</f>
        <v>91.920737864949174</v>
      </c>
      <c r="H26" s="45">
        <f>EnrlAll!AI26/'Total Population '!H26%</f>
        <v>92.436276899390691</v>
      </c>
      <c r="I26" s="45">
        <f>EnrlAll!AJ26/('Total Population '!C26+'Total Population '!F26)%</f>
        <v>101.31338034759021</v>
      </c>
      <c r="J26" s="45">
        <f>EnrlAll!AK26/('Total Population '!D26+'Total Population '!G26)%</f>
        <v>101.02137348185592</v>
      </c>
      <c r="K26" s="45">
        <f>EnrlAll!AL26/('Total Population '!E26+'Total Population '!H26)%</f>
        <v>101.18363998593695</v>
      </c>
      <c r="L26" s="45">
        <f>EnrlAll!AS26/'Total Population '!I26%</f>
        <v>77.14248827728666</v>
      </c>
      <c r="M26" s="45">
        <f>EnrlAll!AT26/'Total Population '!J26%</f>
        <v>77.621425800012872</v>
      </c>
      <c r="N26" s="45">
        <f>EnrlAll!AU26/'Total Population '!K26%</f>
        <v>77.355012751696393</v>
      </c>
      <c r="O26" s="45">
        <f>EnrlAll!AV26/('Total Population '!C26+'Total Population '!F26+'Total Population '!I26)%</f>
        <v>96.0883080749893</v>
      </c>
      <c r="P26" s="45">
        <f>EnrlAll!AW26/('Total Population '!D26+'Total Population '!G26+'Total Population '!J26)%</f>
        <v>95.972015523450821</v>
      </c>
      <c r="Q26" s="45">
        <f>EnrlAll!AX26/('Total Population '!E26+'Total Population '!H26+'Total Population '!K26)%</f>
        <v>96.036652788096987</v>
      </c>
      <c r="R26" s="45">
        <f>EnrlAll!BE26/'Total Population '!L26%</f>
        <v>49.390798356709226</v>
      </c>
      <c r="S26" s="45">
        <f>EnrlAll!BF26/'Total Population '!M26%</f>
        <v>52.747369932120662</v>
      </c>
      <c r="T26" s="45">
        <f>EnrlAll!BG26/'Total Population '!N26%</f>
        <v>50.880003930538642</v>
      </c>
      <c r="U26" s="45">
        <f>(EnrlAll!AS26+EnrlAll!BE26)/('Total Population '!L26+'Total Population '!I26)%</f>
        <v>63.183465295629823</v>
      </c>
      <c r="V26" s="45">
        <f>(EnrlAll!AT26+EnrlAll!BF26)/('Total Population '!M26+'Total Population '!J26)%</f>
        <v>65.111681110901401</v>
      </c>
      <c r="W26" s="45">
        <f>(EnrlAll!AU26+EnrlAll!BG26)/('Total Population '!N26+'Total Population '!K26)%</f>
        <v>64.039024059864104</v>
      </c>
      <c r="X26" s="45">
        <f>EnrlAll!BH26/('Total Population '!C26+'Total Population '!F26+'Total Population '!I26+'Total Population '!L26)%</f>
        <v>87.705779982315164</v>
      </c>
      <c r="Y26" s="45">
        <f>EnrlAll!BI26/('Total Population '!D26+'Total Population '!G26+'Total Population '!J26+'Total Population '!M26)%</f>
        <v>88.226171690393116</v>
      </c>
      <c r="Z26" s="45">
        <f>EnrlAll!BJ26/('Total Population '!E26+'Total Population '!H26+'Total Population '!K26+'Total Population '!N26)%</f>
        <v>87.936881534312249</v>
      </c>
    </row>
    <row r="27" spans="1:26" s="35" customFormat="1" ht="19.5" customHeight="1">
      <c r="A27" s="25">
        <v>22</v>
      </c>
      <c r="B27" s="26" t="s">
        <v>32</v>
      </c>
      <c r="C27" s="45">
        <f>EnrlAll!U27/'Total Population '!C27%</f>
        <v>104.55657183755596</v>
      </c>
      <c r="D27" s="45">
        <f>EnrlAll!V27/'Total Population '!D27%</f>
        <v>103.76951373902962</v>
      </c>
      <c r="E27" s="45">
        <f>EnrlAll!W27/'Total Population '!E27%</f>
        <v>104.18532779501732</v>
      </c>
      <c r="F27" s="45">
        <f>EnrlAll!AG27/'Total Population '!F27%</f>
        <v>80.748161139995545</v>
      </c>
      <c r="G27" s="45">
        <f>EnrlAll!AH27/'Total Population '!G27%</f>
        <v>73.244407665734073</v>
      </c>
      <c r="H27" s="45">
        <f>EnrlAll!AI27/'Total Population '!H27%</f>
        <v>77.210122338426984</v>
      </c>
      <c r="I27" s="45">
        <f>EnrlAll!AJ27/('Total Population '!C27+'Total Population '!F27)%</f>
        <v>95.786791812404559</v>
      </c>
      <c r="J27" s="45">
        <f>EnrlAll!AK27/('Total Population '!D27+'Total Population '!G27)%</f>
        <v>92.530872038776479</v>
      </c>
      <c r="K27" s="45">
        <f>EnrlAll!AL27/('Total Population '!E27+'Total Population '!H27)%</f>
        <v>94.251240655879784</v>
      </c>
      <c r="L27" s="45">
        <f>EnrlAll!AS27/'Total Population '!I27%</f>
        <v>74.706127405358927</v>
      </c>
      <c r="M27" s="45">
        <f>EnrlAll!AT27/'Total Population '!J27%</f>
        <v>56.257061047705179</v>
      </c>
      <c r="N27" s="45">
        <f>EnrlAll!AU27/'Total Population '!K27%</f>
        <v>66.066278821711236</v>
      </c>
      <c r="O27" s="45">
        <f>EnrlAll!AV27/('Total Population '!C27+'Total Population '!F27+'Total Population '!I27)%</f>
        <v>91.658821525586035</v>
      </c>
      <c r="P27" s="45">
        <f>EnrlAll!AW27/('Total Population '!D27+'Total Population '!G27+'Total Population '!J27)%</f>
        <v>85.50341048516232</v>
      </c>
      <c r="Q27" s="45">
        <f>EnrlAll!AX27/('Total Population '!E27+'Total Population '!H27+'Total Population '!K27)%</f>
        <v>88.759787152615303</v>
      </c>
      <c r="R27" s="45">
        <f>EnrlAll!BE27/'Total Population '!L27%</f>
        <v>55.709631275160888</v>
      </c>
      <c r="S27" s="45">
        <f>EnrlAll!BF27/'Total Population '!M27%</f>
        <v>38.711068886107675</v>
      </c>
      <c r="T27" s="45">
        <f>EnrlAll!BG27/'Total Population '!N27%</f>
        <v>47.832975368484092</v>
      </c>
      <c r="U27" s="45">
        <f>(EnrlAll!AS27+EnrlAll!BE27)/('Total Population '!L27+'Total Population '!I27)%</f>
        <v>65.786052261392214</v>
      </c>
      <c r="V27" s="45">
        <f>(EnrlAll!AT27+EnrlAll!BF27)/('Total Population '!M27+'Total Population '!J27)%</f>
        <v>48.10473207285041</v>
      </c>
      <c r="W27" s="45">
        <f>(EnrlAll!AU27+EnrlAll!BG27)/('Total Population '!N27+'Total Population '!K27)%</f>
        <v>57.546528258400784</v>
      </c>
      <c r="X27" s="45">
        <f>EnrlAll!BH27/('Total Population '!C27+'Total Population '!F27+'Total Population '!I27+'Total Population '!L27)%</f>
        <v>86.347808138948352</v>
      </c>
      <c r="Y27" s="45">
        <f>EnrlAll!BI27/('Total Population '!D27+'Total Population '!G27+'Total Population '!J27+'Total Population '!M27)%</f>
        <v>78.768456567379715</v>
      </c>
      <c r="Z27" s="45">
        <f>EnrlAll!BJ27/('Total Population '!E27+'Total Population '!H27+'Total Population '!K27+'Total Population '!N27)%</f>
        <v>82.786544485756934</v>
      </c>
    </row>
    <row r="28" spans="1:26" s="35" customFormat="1" ht="19.5" customHeight="1">
      <c r="A28" s="25">
        <v>23</v>
      </c>
      <c r="B28" s="26" t="s">
        <v>33</v>
      </c>
      <c r="C28" s="45">
        <f>EnrlAll!U28/'Total Population '!C28%</f>
        <v>132.0275277924828</v>
      </c>
      <c r="D28" s="45">
        <f>EnrlAll!V28/'Total Population '!D28%</f>
        <v>132.04810272785949</v>
      </c>
      <c r="E28" s="45">
        <f>EnrlAll!W28/'Total Population '!E28%</f>
        <v>132.03767955615896</v>
      </c>
      <c r="F28" s="45">
        <f>EnrlAll!AG28/'Total Population '!F28%</f>
        <v>90.292316808216469</v>
      </c>
      <c r="G28" s="45">
        <f>EnrlAll!AH28/'Total Population '!G28%</f>
        <v>106.73121019108281</v>
      </c>
      <c r="H28" s="45">
        <f>EnrlAll!AI28/'Total Population '!H28%</f>
        <v>98.382526268274944</v>
      </c>
      <c r="I28" s="45">
        <f>EnrlAll!AJ28/('Total Population '!C28+'Total Population '!F28)%</f>
        <v>115.28251050003962</v>
      </c>
      <c r="J28" s="45">
        <f>EnrlAll!AK28/('Total Population '!D28+'Total Population '!G28)%</f>
        <v>121.92124250947781</v>
      </c>
      <c r="K28" s="45">
        <f>EnrlAll!AL28/('Total Population '!E28+'Total Population '!H28)%</f>
        <v>118.55472281942575</v>
      </c>
      <c r="L28" s="45">
        <f>EnrlAll!AS28/'Total Population '!I28%</f>
        <v>57.293132824653675</v>
      </c>
      <c r="M28" s="45">
        <f>EnrlAll!AT28/'Total Population '!J28%</f>
        <v>68.605087416522849</v>
      </c>
      <c r="N28" s="45">
        <f>EnrlAll!AU28/'Total Population '!K28%</f>
        <v>62.912845746663685</v>
      </c>
      <c r="O28" s="45">
        <f>EnrlAll!AV28/('Total Population '!C28+'Total Population '!F28+'Total Population '!I28)%</f>
        <v>103.0465025400547</v>
      </c>
      <c r="P28" s="45">
        <f>EnrlAll!AW28/('Total Population '!D28+'Total Population '!G28+'Total Population '!J28)%</f>
        <v>110.53230537434484</v>
      </c>
      <c r="Q28" s="45">
        <f>EnrlAll!AX28/('Total Population '!E28+'Total Population '!H28+'Total Population '!K28)%</f>
        <v>106.74242664049886</v>
      </c>
      <c r="R28" s="45">
        <f>EnrlAll!BE28/'Total Population '!L28%</f>
        <v>34.517879711545611</v>
      </c>
      <c r="S28" s="45">
        <f>EnrlAll!BF28/'Total Population '!M28%</f>
        <v>41.498361405380685</v>
      </c>
      <c r="T28" s="45">
        <f>EnrlAll!BG28/'Total Population '!N28%</f>
        <v>37.964774951076315</v>
      </c>
      <c r="U28" s="45">
        <f>(EnrlAll!AS28+EnrlAll!BE28)/('Total Population '!L28+'Total Population '!I28)%</f>
        <v>45.92578849721707</v>
      </c>
      <c r="V28" s="45">
        <f>(EnrlAll!AT28+EnrlAll!BF28)/('Total Population '!M28+'Total Population '!J28)%</f>
        <v>55.157289776164546</v>
      </c>
      <c r="W28" s="45">
        <f>(EnrlAll!AU28+EnrlAll!BG28)/('Total Population '!N28+'Total Population '!K28)%</f>
        <v>50.498145997977453</v>
      </c>
      <c r="X28" s="45">
        <f>EnrlAll!BH28/('Total Population '!C28+'Total Population '!F28+'Total Population '!I28+'Total Population '!L28)%</f>
        <v>91.141218712060549</v>
      </c>
      <c r="Y28" s="45">
        <f>EnrlAll!BI28/('Total Population '!D28+'Total Population '!G28+'Total Population '!J28+'Total Population '!M28)%</f>
        <v>98.536617666534227</v>
      </c>
      <c r="Z28" s="45">
        <f>EnrlAll!BJ28/('Total Population '!E28+'Total Population '!H28+'Total Population '!K28+'Total Population '!N28)%</f>
        <v>94.792592980070097</v>
      </c>
    </row>
    <row r="29" spans="1:26" s="35" customFormat="1" ht="19.5" customHeight="1">
      <c r="A29" s="25">
        <v>24</v>
      </c>
      <c r="B29" s="26" t="s">
        <v>34</v>
      </c>
      <c r="C29" s="45">
        <f>EnrlAll!U29/'Total Population '!C29%</f>
        <v>114.79750794601473</v>
      </c>
      <c r="D29" s="45">
        <f>EnrlAll!V29/'Total Population '!D29%</f>
        <v>116.68463886934269</v>
      </c>
      <c r="E29" s="45">
        <f>EnrlAll!W29/'Total Population '!E29%</f>
        <v>115.71523391982841</v>
      </c>
      <c r="F29" s="45">
        <f>EnrlAll!AG29/'Total Population '!F29%</f>
        <v>104.89681245476902</v>
      </c>
      <c r="G29" s="45">
        <f>EnrlAll!AH29/'Total Population '!G29%</f>
        <v>105.85476898653539</v>
      </c>
      <c r="H29" s="45">
        <f>EnrlAll!AI29/'Total Population '!H29%</f>
        <v>105.36091681529047</v>
      </c>
      <c r="I29" s="45">
        <f>EnrlAll!AJ29/('Total Population '!C29+'Total Population '!F29)%</f>
        <v>110.94260248363027</v>
      </c>
      <c r="J29" s="45">
        <f>EnrlAll!AK29/('Total Population '!D29+'Total Population '!G29)%</f>
        <v>112.48684530250559</v>
      </c>
      <c r="K29" s="45">
        <f>EnrlAll!AL29/('Total Population '!E29+'Total Population '!H29)%</f>
        <v>111.69247893838532</v>
      </c>
      <c r="L29" s="45">
        <f>EnrlAll!AS29/'Total Population '!I29%</f>
        <v>73.173501305288056</v>
      </c>
      <c r="M29" s="45">
        <f>EnrlAll!AT29/'Total Population '!J29%</f>
        <v>76.573692427984966</v>
      </c>
      <c r="N29" s="45">
        <f>EnrlAll!AU29/'Total Population '!K29%</f>
        <v>74.810537409480318</v>
      </c>
      <c r="O29" s="45">
        <f>EnrlAll!AV29/('Total Population '!C29+'Total Population '!F29+'Total Population '!I29)%</f>
        <v>102.9611649695694</v>
      </c>
      <c r="P29" s="45">
        <f>EnrlAll!AW29/('Total Population '!D29+'Total Population '!G29+'Total Population '!J29)%</f>
        <v>104.99638122595591</v>
      </c>
      <c r="Q29" s="45">
        <f>EnrlAll!AX29/('Total Population '!E29+'Total Population '!H29+'Total Population '!K29)%</f>
        <v>103.9476859767049</v>
      </c>
      <c r="R29" s="45">
        <f>EnrlAll!BE29/'Total Population '!L29%</f>
        <v>44.046326017036534</v>
      </c>
      <c r="S29" s="45">
        <f>EnrlAll!BF29/'Total Population '!M29%</f>
        <v>56.186234057691927</v>
      </c>
      <c r="T29" s="45">
        <f>EnrlAll!BG29/'Total Population '!N29%</f>
        <v>49.87386573923942</v>
      </c>
      <c r="U29" s="45">
        <f>(EnrlAll!AS29+EnrlAll!BE29)/('Total Population '!L29+'Total Population '!I29)%</f>
        <v>58.979557844448266</v>
      </c>
      <c r="V29" s="45">
        <f>(EnrlAll!AT29+EnrlAll!BF29)/('Total Population '!M29+'Total Population '!J29)%</f>
        <v>66.667718170758022</v>
      </c>
      <c r="W29" s="45">
        <f>(EnrlAll!AU29+EnrlAll!BG29)/('Total Population '!N29+'Total Population '!K29)%</f>
        <v>62.675732472249862</v>
      </c>
      <c r="X29" s="45">
        <f>EnrlAll!BH29/('Total Population '!C29+'Total Population '!F29+'Total Population '!I29+'Total Population '!L29)%</f>
        <v>93.106859921497389</v>
      </c>
      <c r="Y29" s="45">
        <f>EnrlAll!BI29/('Total Population '!D29+'Total Population '!G29+'Total Population '!J29+'Total Population '!M29)%</f>
        <v>96.959228610499792</v>
      </c>
      <c r="Z29" s="45">
        <f>EnrlAll!BJ29/('Total Population '!E29+'Total Population '!H29+'Total Population '!K29+'Total Population '!N29)%</f>
        <v>94.971199146171145</v>
      </c>
    </row>
    <row r="30" spans="1:26" s="35" customFormat="1" ht="19.5" customHeight="1">
      <c r="A30" s="25">
        <v>25</v>
      </c>
      <c r="B30" s="26" t="s">
        <v>35</v>
      </c>
      <c r="C30" s="45">
        <f>EnrlAll!U30/'Total Population '!C30%</f>
        <v>115.27457314259345</v>
      </c>
      <c r="D30" s="45">
        <f>EnrlAll!V30/'Total Population '!D30%</f>
        <v>115.94001218390531</v>
      </c>
      <c r="E30" s="45">
        <f>EnrlAll!W30/'Total Population '!E30%</f>
        <v>115.59944133589534</v>
      </c>
      <c r="F30" s="45">
        <f>EnrlAll!AG30/'Total Population '!F30%</f>
        <v>102.24073226544623</v>
      </c>
      <c r="G30" s="45">
        <f>EnrlAll!AH30/'Total Population '!G30%</f>
        <v>102.49732088181263</v>
      </c>
      <c r="H30" s="45">
        <f>EnrlAll!AI30/'Total Population '!H30%</f>
        <v>102.36618295113257</v>
      </c>
      <c r="I30" s="45">
        <f>EnrlAll!AJ30/('Total Population '!C30+'Total Population '!F30)%</f>
        <v>110.27435502164852</v>
      </c>
      <c r="J30" s="45">
        <f>EnrlAll!AK30/('Total Population '!D30+'Total Population '!G30)%</f>
        <v>110.77383009862253</v>
      </c>
      <c r="K30" s="45">
        <f>EnrlAll!AL30/('Total Population '!E30+'Total Population '!H30)%</f>
        <v>110.51833676711759</v>
      </c>
      <c r="L30" s="45">
        <f>EnrlAll!AS30/'Total Population '!I30%</f>
        <v>88.687417310772233</v>
      </c>
      <c r="M30" s="45">
        <f>EnrlAll!AT30/'Total Population '!J30%</f>
        <v>90.08544769058328</v>
      </c>
      <c r="N30" s="45">
        <f>EnrlAll!AU30/'Total Population '!K30%</f>
        <v>89.370969808258963</v>
      </c>
      <c r="O30" s="45">
        <f>EnrlAll!AV30/('Total Population '!C30+'Total Population '!F30+'Total Population '!I30)%</f>
        <v>105.92738837069734</v>
      </c>
      <c r="P30" s="45">
        <f>EnrlAll!AW30/('Total Population '!D30+'Total Population '!G30+'Total Population '!J30)%</f>
        <v>106.6016327944505</v>
      </c>
      <c r="Q30" s="45">
        <f>EnrlAll!AX30/('Total Population '!E30+'Total Population '!H30+'Total Population '!K30)%</f>
        <v>106.25680375775396</v>
      </c>
      <c r="R30" s="45">
        <f>EnrlAll!BE30/'Total Population '!L30%</f>
        <v>36.955472509894236</v>
      </c>
      <c r="S30" s="45">
        <f>EnrlAll!BF30/'Total Population '!M30%</f>
        <v>29.753756825463682</v>
      </c>
      <c r="T30" s="45">
        <f>EnrlAll!BG30/'Total Population '!N30%</f>
        <v>33.511036288814068</v>
      </c>
      <c r="U30" s="45">
        <f>(EnrlAll!AS30+EnrlAll!BE30)/('Total Population '!L30+'Total Population '!I30)%</f>
        <v>62.693837391388698</v>
      </c>
      <c r="V30" s="45">
        <f>(EnrlAll!AT30+EnrlAll!BF30)/('Total Population '!M30+'Total Population '!J30)%</f>
        <v>60.414570633840327</v>
      </c>
      <c r="W30" s="45">
        <f>(EnrlAll!AU30+EnrlAll!BG30)/('Total Population '!N30+'Total Population '!K30)%</f>
        <v>61.591496182441375</v>
      </c>
      <c r="X30" s="45">
        <f>EnrlAll!BH30/('Total Population '!C30+'Total Population '!F30+'Total Population '!I30+'Total Population '!L30)%</f>
        <v>94.271252088678835</v>
      </c>
      <c r="Y30" s="45">
        <f>EnrlAll!BI30/('Total Population '!D30+'Total Population '!G30+'Total Population '!J30+'Total Population '!M30)%</f>
        <v>94.053133950019898</v>
      </c>
      <c r="Z30" s="45">
        <f>EnrlAll!BJ30/('Total Population '!E30+'Total Population '!H30+'Total Population '!K30+'Total Population '!N30)%</f>
        <v>94.165059236732887</v>
      </c>
    </row>
    <row r="31" spans="1:26" s="35" customFormat="1" ht="19.5" customHeight="1">
      <c r="A31" s="25">
        <v>26</v>
      </c>
      <c r="B31" s="26" t="s">
        <v>36</v>
      </c>
      <c r="C31" s="45">
        <f>EnrlAll!U31/'Total Population '!C31%</f>
        <v>109.0954524436692</v>
      </c>
      <c r="D31" s="45">
        <f>EnrlAll!V31/'Total Population '!D31%</f>
        <v>112.91218863162382</v>
      </c>
      <c r="E31" s="45">
        <f>EnrlAll!W31/'Total Population '!E31%</f>
        <v>110.89288076122833</v>
      </c>
      <c r="F31" s="45">
        <f>EnrlAll!AG31/'Total Population '!F31%</f>
        <v>77.232443775099881</v>
      </c>
      <c r="G31" s="45">
        <f>EnrlAll!AH31/'Total Population '!G31%</f>
        <v>71.24771984377297</v>
      </c>
      <c r="H31" s="45">
        <f>EnrlAll!AI31/'Total Population '!H31%</f>
        <v>74.409456800105616</v>
      </c>
      <c r="I31" s="45">
        <f>EnrlAll!AJ31/('Total Population '!C31+'Total Population '!F31)%</f>
        <v>97.712835328251401</v>
      </c>
      <c r="J31" s="45">
        <f>EnrlAll!AK31/('Total Population '!D31+'Total Population '!G31)%</f>
        <v>97.998734813472595</v>
      </c>
      <c r="K31" s="45">
        <f>EnrlAll!AL31/('Total Population '!E31+'Total Population '!H31)%</f>
        <v>97.847553177459815</v>
      </c>
      <c r="L31" s="45">
        <f>EnrlAll!AS31/'Total Population '!I31%</f>
        <v>73.033444705489472</v>
      </c>
      <c r="M31" s="45">
        <f>EnrlAll!AT31/'Total Population '!J31%</f>
        <v>60.794884967128709</v>
      </c>
      <c r="N31" s="45">
        <f>EnrlAll!AU31/'Total Population '!K31%</f>
        <v>67.24543730834047</v>
      </c>
      <c r="O31" s="45">
        <f>EnrlAll!AV31/('Total Population '!C31+'Total Population '!F31+'Total Population '!I31)%</f>
        <v>92.796002932615579</v>
      </c>
      <c r="P31" s="45">
        <f>EnrlAll!AW31/('Total Population '!D31+'Total Population '!G31+'Total Population '!J31)%</f>
        <v>90.545507405900494</v>
      </c>
      <c r="Q31" s="45">
        <f>EnrlAll!AX31/('Total Population '!E31+'Total Population '!H31+'Total Population '!K31)%</f>
        <v>91.734778138536868</v>
      </c>
      <c r="R31" s="45">
        <f>EnrlAll!BE31/'Total Population '!L31%</f>
        <v>47.109670274135361</v>
      </c>
      <c r="S31" s="45">
        <f>EnrlAll!BF31/'Total Population '!M31%</f>
        <v>39.602443161404068</v>
      </c>
      <c r="T31" s="45">
        <f>EnrlAll!BG31/'Total Population '!N31%</f>
        <v>43.55193117703427</v>
      </c>
      <c r="U31" s="45">
        <f>(EnrlAll!AS31+EnrlAll!BE31)/('Total Population '!L31+'Total Population '!I31)%</f>
        <v>60.983751217988925</v>
      </c>
      <c r="V31" s="45">
        <f>(EnrlAll!AT31+EnrlAll!BF31)/('Total Population '!M31+'Total Population '!J31)%</f>
        <v>50.923721234240702</v>
      </c>
      <c r="W31" s="45">
        <f>(EnrlAll!AU31+EnrlAll!BG31)/('Total Population '!N31+'Total Population '!K31)%</f>
        <v>56.221469843250247</v>
      </c>
      <c r="X31" s="45">
        <f>EnrlAll!BH31/('Total Population '!C31+'Total Population '!F31+'Total Population '!I31+'Total Population '!L31)%</f>
        <v>86.056936634879833</v>
      </c>
      <c r="Y31" s="45">
        <f>EnrlAll!BI31/('Total Population '!D31+'Total Population '!G31+'Total Population '!J31+'Total Population '!M31)%</f>
        <v>82.970258128199404</v>
      </c>
      <c r="Z31" s="45">
        <f>EnrlAll!BJ31/('Total Population '!E31+'Total Population '!H31+'Total Population '!K31+'Total Population '!N31)%</f>
        <v>84.600331182230235</v>
      </c>
    </row>
    <row r="32" spans="1:26" s="35" customFormat="1" ht="19.5" customHeight="1">
      <c r="A32" s="25">
        <v>27</v>
      </c>
      <c r="B32" s="26" t="s">
        <v>37</v>
      </c>
      <c r="C32" s="45">
        <f>EnrlAll!U32/'Total Population '!C32%</f>
        <v>93.496682969347731</v>
      </c>
      <c r="D32" s="45">
        <f>EnrlAll!V32/'Total Population '!D32%</f>
        <v>95.656854027238268</v>
      </c>
      <c r="E32" s="45">
        <f>EnrlAll!W32/'Total Population '!E32%</f>
        <v>94.512005103406295</v>
      </c>
      <c r="F32" s="45">
        <f>EnrlAll!AG32/'Total Population '!F32%</f>
        <v>80.787129560897625</v>
      </c>
      <c r="G32" s="45">
        <f>EnrlAll!AH32/'Total Population '!G32%</f>
        <v>84.851917120412054</v>
      </c>
      <c r="H32" s="45">
        <f>EnrlAll!AI32/'Total Population '!H32%</f>
        <v>82.715248982115554</v>
      </c>
      <c r="I32" s="45">
        <f>EnrlAll!AJ32/('Total Population '!C32+'Total Population '!F32)%</f>
        <v>88.702169548771778</v>
      </c>
      <c r="J32" s="45">
        <f>EnrlAll!AK32/('Total Population '!D32+'Total Population '!G32)%</f>
        <v>91.536662078151153</v>
      </c>
      <c r="K32" s="45">
        <f>EnrlAll!AL32/('Total Population '!E32+'Total Population '!H32)%</f>
        <v>90.039086839474237</v>
      </c>
      <c r="L32" s="45">
        <f>EnrlAll!AS32/'Total Population '!I32%</f>
        <v>82.179271801866236</v>
      </c>
      <c r="M32" s="45">
        <f>EnrlAll!AT32/'Total Population '!J32%</f>
        <v>79.181042636950821</v>
      </c>
      <c r="N32" s="45">
        <f>EnrlAll!AU32/'Total Population '!K32%</f>
        <v>80.740024821728966</v>
      </c>
      <c r="O32" s="45">
        <f>EnrlAll!AV32/('Total Population '!C32+'Total Population '!F32+'Total Population '!I32)%</f>
        <v>87.360261836896015</v>
      </c>
      <c r="P32" s="45">
        <f>EnrlAll!AW32/('Total Population '!D32+'Total Population '!G32+'Total Population '!J32)%</f>
        <v>88.926391314070386</v>
      </c>
      <c r="Q32" s="45">
        <f>EnrlAll!AX32/('Total Population '!E32+'Total Population '!H32+'Total Population '!K32)%</f>
        <v>88.101674559782197</v>
      </c>
      <c r="R32" s="45">
        <f>EnrlAll!BE32/'Total Population '!L32%</f>
        <v>62.255224364876838</v>
      </c>
      <c r="S32" s="45">
        <f>EnrlAll!BF32/'Total Population '!M32%</f>
        <v>62.307523202355121</v>
      </c>
      <c r="T32" s="45">
        <f>EnrlAll!BG32/'Total Population '!N32%</f>
        <v>62.280248426752529</v>
      </c>
      <c r="U32" s="45">
        <f>(EnrlAll!AS32+EnrlAll!BE32)/('Total Population '!L32+'Total Population '!I32)%</f>
        <v>72.481272009390679</v>
      </c>
      <c r="V32" s="45">
        <f>(EnrlAll!AT32+EnrlAll!BF32)/('Total Population '!M32+'Total Population '!J32)%</f>
        <v>70.994063905764492</v>
      </c>
      <c r="W32" s="45">
        <f>(EnrlAll!AU32+EnrlAll!BG32)/('Total Population '!N32+'Total Population '!K32)%</f>
        <v>71.768484457829985</v>
      </c>
      <c r="X32" s="45">
        <f>EnrlAll!BH32/('Total Population '!C32+'Total Population '!F32+'Total Population '!I32+'Total Population '!L32)%</f>
        <v>83.261872619069777</v>
      </c>
      <c r="Y32" s="45">
        <f>EnrlAll!BI32/('Total Population '!D32+'Total Population '!G32+'Total Population '!J32+'Total Population '!M32)%</f>
        <v>84.506336989273422</v>
      </c>
      <c r="Z32" s="45">
        <f>EnrlAll!BJ32/('Total Population '!E32+'Total Population '!H32+'Total Population '!K32+'Total Population '!N32)%</f>
        <v>83.852047603868613</v>
      </c>
    </row>
    <row r="33" spans="1:26" s="35" customFormat="1" ht="19.5" customHeight="1">
      <c r="A33" s="25">
        <v>28</v>
      </c>
      <c r="B33" s="26" t="s">
        <v>38</v>
      </c>
      <c r="C33" s="45">
        <f>EnrlAll!U33/'Total Population '!C33%</f>
        <v>113.65496011530671</v>
      </c>
      <c r="D33" s="45">
        <f>EnrlAll!V33/'Total Population '!D33%</f>
        <v>116.9443956527039</v>
      </c>
      <c r="E33" s="45">
        <f>EnrlAll!W33/'Total Population '!E33%</f>
        <v>115.26163787278577</v>
      </c>
      <c r="F33" s="45">
        <f>EnrlAll!AG33/'Total Population '!F33%</f>
        <v>81.937998234994254</v>
      </c>
      <c r="G33" s="45">
        <f>EnrlAll!AH33/'Total Population '!G33%</f>
        <v>92.250437227542818</v>
      </c>
      <c r="H33" s="45">
        <f>EnrlAll!AI33/'Total Population '!H33%</f>
        <v>86.985331582797613</v>
      </c>
      <c r="I33" s="45">
        <f>EnrlAll!AJ33/('Total Population '!C33+'Total Population '!F33)%</f>
        <v>101.43250997501563</v>
      </c>
      <c r="J33" s="45">
        <f>EnrlAll!AK33/('Total Population '!D33+'Total Population '!G33)%</f>
        <v>107.40478181989539</v>
      </c>
      <c r="K33" s="45">
        <f>EnrlAll!AL33/('Total Population '!E33+'Total Population '!H33)%</f>
        <v>104.35189788166711</v>
      </c>
      <c r="L33" s="45">
        <f>EnrlAll!AS33/'Total Population '!I33%</f>
        <v>59.387910599390445</v>
      </c>
      <c r="M33" s="45">
        <f>EnrlAll!AT33/'Total Population '!J33%</f>
        <v>68.021203966462252</v>
      </c>
      <c r="N33" s="45">
        <f>EnrlAll!AU33/'Total Population '!K33%</f>
        <v>63.598508730604912</v>
      </c>
      <c r="O33" s="45">
        <f>EnrlAll!AV33/('Total Population '!C33+'Total Population '!F33+'Total Population '!I33)%</f>
        <v>92.594839243247989</v>
      </c>
      <c r="P33" s="45">
        <f>EnrlAll!AW33/('Total Population '!D33+'Total Population '!G33+'Total Population '!J33)%</f>
        <v>99.155390578306935</v>
      </c>
      <c r="Q33" s="45">
        <f>EnrlAll!AX33/('Total Population '!E33+'Total Population '!H33+'Total Population '!K33)%</f>
        <v>95.800267650021894</v>
      </c>
      <c r="R33" s="45">
        <f>EnrlAll!BE33/'Total Population '!L33%</f>
        <v>43.178348668256795</v>
      </c>
      <c r="S33" s="45">
        <f>EnrlAll!BF33/'Total Population '!M33%</f>
        <v>42.741369832445656</v>
      </c>
      <c r="T33" s="45">
        <f>EnrlAll!BG33/'Total Population '!N33%</f>
        <v>42.973625694655723</v>
      </c>
      <c r="U33" s="45">
        <f>(EnrlAll!AS33+EnrlAll!BE33)/('Total Population '!L33+'Total Population '!I33)%</f>
        <v>51.458373481455006</v>
      </c>
      <c r="V33" s="45">
        <f>(EnrlAll!AT33+EnrlAll!BF33)/('Total Population '!M33+'Total Population '!J33)%</f>
        <v>56.140590676679686</v>
      </c>
      <c r="W33" s="45">
        <f>(EnrlAll!AU33+EnrlAll!BG33)/('Total Population '!N33+'Total Population '!K33)%</f>
        <v>53.698771863798527</v>
      </c>
      <c r="X33" s="45">
        <f>EnrlAll!BH33/('Total Population '!C33+'Total Population '!F33+'Total Population '!I33+'Total Population '!L33)%</f>
        <v>84.314193308208075</v>
      </c>
      <c r="Y33" s="45">
        <f>EnrlAll!BI33/('Total Population '!D33+'Total Population '!G33+'Total Population '!J33+'Total Population '!M33)%</f>
        <v>90.319103804682968</v>
      </c>
      <c r="Z33" s="45">
        <f>EnrlAll!BJ33/('Total Population '!E33+'Total Population '!H33+'Total Population '!K33+'Total Population '!N33)%</f>
        <v>87.228560597093789</v>
      </c>
    </row>
    <row r="34" spans="1:26" s="35" customFormat="1" ht="19.5" customHeight="1">
      <c r="A34" s="25">
        <v>29</v>
      </c>
      <c r="B34" s="26" t="s">
        <v>39</v>
      </c>
      <c r="C34" s="45">
        <f>EnrlAll!U34/'Total Population '!C34%</f>
        <v>102.75246419936768</v>
      </c>
      <c r="D34" s="45">
        <f>EnrlAll!V34/'Total Population '!D34%</f>
        <v>102.86233530213539</v>
      </c>
      <c r="E34" s="45">
        <f>EnrlAll!W34/'Total Population '!E34%</f>
        <v>102.80613862641893</v>
      </c>
      <c r="F34" s="45">
        <f>EnrlAll!AG34/'Total Population '!F34%</f>
        <v>106.64101045983817</v>
      </c>
      <c r="G34" s="45">
        <f>EnrlAll!AH34/'Total Population '!G34%</f>
        <v>103.44050788449724</v>
      </c>
      <c r="H34" s="45">
        <f>EnrlAll!AI34/'Total Population '!H34%</f>
        <v>105.07035175879398</v>
      </c>
      <c r="I34" s="45">
        <f>EnrlAll!AJ34/('Total Population '!C34+'Total Population '!F34)%</f>
        <v>104.25280791928422</v>
      </c>
      <c r="J34" s="45">
        <f>EnrlAll!AK34/('Total Population '!D34+'Total Population '!G34)%</f>
        <v>103.08664044809916</v>
      </c>
      <c r="K34" s="45">
        <f>EnrlAll!AL34/('Total Population '!E34+'Total Population '!H34)%</f>
        <v>103.68210272561141</v>
      </c>
      <c r="L34" s="45">
        <f>EnrlAll!AS34/'Total Population '!I34%</f>
        <v>105.32380396732789</v>
      </c>
      <c r="M34" s="45">
        <f>EnrlAll!AT34/'Total Population '!J34%</f>
        <v>101.4245460237946</v>
      </c>
      <c r="N34" s="45">
        <f>EnrlAll!AU34/'Total Population '!K34%</f>
        <v>103.44306855934764</v>
      </c>
      <c r="O34" s="45">
        <f>EnrlAll!AV34/('Total Population '!C34+'Total Population '!F34+'Total Population '!I34)%</f>
        <v>104.4745025814438</v>
      </c>
      <c r="P34" s="45">
        <f>EnrlAll!AW34/('Total Population '!D34+'Total Population '!G34+'Total Population '!J34)%</f>
        <v>102.75022971388739</v>
      </c>
      <c r="Q34" s="45">
        <f>EnrlAll!AX34/('Total Population '!E34+'Total Population '!H34+'Total Population '!K34)%</f>
        <v>103.63315914783092</v>
      </c>
      <c r="R34" s="45">
        <f>EnrlAll!BE34/'Total Population '!L34%</f>
        <v>82.4628512579079</v>
      </c>
      <c r="S34" s="45">
        <f>EnrlAll!BF34/'Total Population '!M34%</f>
        <v>84.678343427729573</v>
      </c>
      <c r="T34" s="45">
        <f>EnrlAll!BG34/'Total Population '!N34%</f>
        <v>83.511545017821163</v>
      </c>
      <c r="U34" s="45">
        <f>(EnrlAll!AS34+EnrlAll!BE34)/('Total Population '!L34+'Total Population '!I34)%</f>
        <v>93.942723211015888</v>
      </c>
      <c r="V34" s="45">
        <f>(EnrlAll!AT34+EnrlAll!BF34)/('Total Population '!M34+'Total Population '!J34)%</f>
        <v>93.23837721053053</v>
      </c>
      <c r="W34" s="45">
        <f>(EnrlAll!AU34+EnrlAll!BG34)/('Total Population '!N34+'Total Population '!K34)%</f>
        <v>93.606118546845124</v>
      </c>
      <c r="X34" s="45">
        <f>EnrlAll!BH34/('Total Population '!C34+'Total Population '!F34+'Total Population '!I34+'Total Population '!L34)%</f>
        <v>100.72648930307129</v>
      </c>
      <c r="Y34" s="45">
        <f>EnrlAll!BI34/('Total Population '!D34+'Total Population '!G34+'Total Population '!J34+'Total Population '!M34)%</f>
        <v>99.819485001327322</v>
      </c>
      <c r="Z34" s="45">
        <f>EnrlAll!BJ34/('Total Population '!E34+'Total Population '!H34+'Total Population '!K34+'Total Population '!N34)%</f>
        <v>100.2861267206269</v>
      </c>
    </row>
    <row r="35" spans="1:26" s="35" customFormat="1" ht="19.5" customHeight="1">
      <c r="A35" s="25">
        <v>30</v>
      </c>
      <c r="B35" s="26" t="s">
        <v>40</v>
      </c>
      <c r="C35" s="45">
        <f>EnrlAll!U35/'Total Population '!C35%</f>
        <v>104.40513767295971</v>
      </c>
      <c r="D35" s="45">
        <f>EnrlAll!V35/'Total Population '!D35%</f>
        <v>108.57986053264155</v>
      </c>
      <c r="E35" s="45">
        <f>EnrlAll!W35/'Total Population '!E35%</f>
        <v>106.30371252300033</v>
      </c>
      <c r="F35" s="45">
        <f>EnrlAll!AG35/'Total Population '!F35%</f>
        <v>108.00013120346377</v>
      </c>
      <c r="G35" s="45">
        <f>EnrlAll!AH35/'Total Population '!G35%</f>
        <v>106.16901873401007</v>
      </c>
      <c r="H35" s="45">
        <f>EnrlAll!AI35/'Total Population '!H35%</f>
        <v>107.18919610387236</v>
      </c>
      <c r="I35" s="45">
        <f>EnrlAll!AJ35/('Total Population '!C35+'Total Population '!F35)%</f>
        <v>105.76057383131338</v>
      </c>
      <c r="J35" s="45">
        <f>EnrlAll!AK35/('Total Population '!D35+'Total Population '!G35)%</f>
        <v>107.69799701136587</v>
      </c>
      <c r="K35" s="45">
        <f>EnrlAll!AL35/('Total Population '!E35+'Total Population '!H35)%</f>
        <v>106.63308658088111</v>
      </c>
      <c r="L35" s="45">
        <f>EnrlAll!AS35/'Total Population '!I35%</f>
        <v>94.166746618056223</v>
      </c>
      <c r="M35" s="45">
        <f>EnrlAll!AT35/'Total Population '!J35%</f>
        <v>94.239757207890747</v>
      </c>
      <c r="N35" s="45">
        <f>EnrlAll!AU35/'Total Population '!K35%</f>
        <v>94.198976447576442</v>
      </c>
      <c r="O35" s="45">
        <f>EnrlAll!AV35/('Total Population '!C35+'Total Population '!F35+'Total Population '!I35)%</f>
        <v>103.38426444850845</v>
      </c>
      <c r="P35" s="45">
        <f>EnrlAll!AW35/('Total Population '!D35+'Total Population '!G35+'Total Population '!J35)%</f>
        <v>105.01776950414622</v>
      </c>
      <c r="Q35" s="45">
        <f>EnrlAll!AX35/('Total Population '!E35+'Total Population '!H35+'Total Population '!K35)%</f>
        <v>104.11696451808797</v>
      </c>
      <c r="R35" s="45">
        <f>EnrlAll!BE35/'Total Population '!L35%</f>
        <v>81.7479218153224</v>
      </c>
      <c r="S35" s="45">
        <f>EnrlAll!BF35/'Total Population '!M35%</f>
        <v>85.129454766981411</v>
      </c>
      <c r="T35" s="45">
        <f>EnrlAll!BG35/'Total Population '!N35%</f>
        <v>83.183346263253171</v>
      </c>
      <c r="U35" s="45">
        <f>(EnrlAll!AS35+EnrlAll!BE35)/('Total Population '!L35+'Total Population '!I35)%</f>
        <v>87.754344446764577</v>
      </c>
      <c r="V35" s="45">
        <f>(EnrlAll!AT35+EnrlAll!BF35)/('Total Population '!M35+'Total Population '!J35)%</f>
        <v>89.692915779872308</v>
      </c>
      <c r="W35" s="45">
        <f>(EnrlAll!AU35+EnrlAll!BG35)/('Total Population '!N35+'Total Population '!K35)%</f>
        <v>88.593386058875396</v>
      </c>
      <c r="X35" s="45">
        <f>EnrlAll!BH35/('Total Population '!C35+'Total Population '!F35+'Total Population '!I35+'Total Population '!L35)%</f>
        <v>99.499842692459737</v>
      </c>
      <c r="Y35" s="45">
        <f>EnrlAll!BI35/('Total Population '!D35+'Total Population '!G35+'Total Population '!J35+'Total Population '!M35)%</f>
        <v>101.7248161709081</v>
      </c>
      <c r="Z35" s="45">
        <f>EnrlAll!BJ35/('Total Population '!E35+'Total Population '!H35+'Total Population '!K35+'Total Population '!N35)%</f>
        <v>100.488565768124</v>
      </c>
    </row>
    <row r="36" spans="1:26" s="35" customFormat="1" ht="19.5" customHeight="1">
      <c r="A36" s="25">
        <v>31</v>
      </c>
      <c r="B36" s="26" t="s">
        <v>41</v>
      </c>
      <c r="C36" s="45">
        <f>EnrlAll!U36/'Total Population '!C36%</f>
        <v>108.06946394218269</v>
      </c>
      <c r="D36" s="45">
        <f>EnrlAll!V36/'Total Population '!D36%</f>
        <v>106.72635445362718</v>
      </c>
      <c r="E36" s="45">
        <f>EnrlAll!W36/'Total Population '!E36%</f>
        <v>107.43105000409199</v>
      </c>
      <c r="F36" s="45">
        <f>EnrlAll!AG36/'Total Population '!F36%</f>
        <v>100.69828602521085</v>
      </c>
      <c r="G36" s="45">
        <f>EnrlAll!AH36/'Total Population '!G36%</f>
        <v>95.558235353230828</v>
      </c>
      <c r="H36" s="45">
        <f>EnrlAll!AI36/'Total Population '!H36%</f>
        <v>98.260081990656872</v>
      </c>
      <c r="I36" s="45">
        <f>EnrlAll!AJ36/('Total Population '!C36+'Total Population '!F36)%</f>
        <v>105.38334434897554</v>
      </c>
      <c r="J36" s="45">
        <f>EnrlAll!AK36/('Total Population '!D36+'Total Population '!G36)%</f>
        <v>102.66666666666667</v>
      </c>
      <c r="K36" s="45">
        <f>EnrlAll!AL36/('Total Population '!E36+'Total Population '!H36)%</f>
        <v>104.09299904571874</v>
      </c>
      <c r="L36" s="45">
        <f>EnrlAll!AS36/'Total Population '!I36%</f>
        <v>87.035069075451645</v>
      </c>
      <c r="M36" s="45">
        <f>EnrlAll!AT36/'Total Population '!J36%</f>
        <v>76.110422933993988</v>
      </c>
      <c r="N36" s="45">
        <f>EnrlAll!AU36/'Total Population '!K36%</f>
        <v>81.990521327014221</v>
      </c>
      <c r="O36" s="45">
        <f>EnrlAll!AV36/('Total Population '!C36+'Total Population '!F36+'Total Population '!I36)%</f>
        <v>102.10329199120687</v>
      </c>
      <c r="P36" s="45">
        <f>EnrlAll!AW36/('Total Population '!D36+'Total Population '!G36+'Total Population '!J36)%</f>
        <v>98.12269121298371</v>
      </c>
      <c r="Q36" s="45">
        <f>EnrlAll!AX36/('Total Population '!E36+'Total Population '!H36+'Total Population '!K36)%</f>
        <v>100.22183103630873</v>
      </c>
      <c r="R36" s="45">
        <f>EnrlAll!BE36/'Total Population '!L36%</f>
        <v>50.254904989958284</v>
      </c>
      <c r="S36" s="45">
        <f>EnrlAll!BF36/'Total Population '!M36%</f>
        <v>45.999179318834628</v>
      </c>
      <c r="T36" s="45">
        <f>EnrlAll!BG36/'Total Population '!N36%</f>
        <v>48.426896977174586</v>
      </c>
      <c r="U36" s="45">
        <f>(EnrlAll!AS36+EnrlAll!BE36)/('Total Population '!L36+'Total Population '!I36)%</f>
        <v>68.805513016845339</v>
      </c>
      <c r="V36" s="45">
        <f>(EnrlAll!AT36+EnrlAll!BF36)/('Total Population '!M36+'Total Population '!J36)%</f>
        <v>62.166270783847978</v>
      </c>
      <c r="W36" s="45">
        <f>(EnrlAll!AU36+EnrlAll!BG36)/('Total Population '!N36+'Total Population '!K36)%</f>
        <v>65.842696629213478</v>
      </c>
      <c r="X36" s="45">
        <f>EnrlAll!BH36/('Total Population '!C36+'Total Population '!F36+'Total Population '!I36+'Total Population '!L36)%</f>
        <v>94.355955678670369</v>
      </c>
      <c r="Y36" s="45">
        <f>EnrlAll!BI36/('Total Population '!D36+'Total Population '!G36+'Total Population '!J36+'Total Population '!M36)%</f>
        <v>91.419525065963057</v>
      </c>
      <c r="Z36" s="45">
        <f>EnrlAll!BJ36/('Total Population '!E36+'Total Population '!H36+'Total Population '!K36+'Total Population '!N36)%</f>
        <v>92.985717803496669</v>
      </c>
    </row>
    <row r="37" spans="1:26" s="35" customFormat="1" ht="19.5" customHeight="1">
      <c r="A37" s="25">
        <v>32</v>
      </c>
      <c r="B37" s="26" t="s">
        <v>42</v>
      </c>
      <c r="C37" s="45">
        <f>EnrlAll!U37/'Total Population '!C37%</f>
        <v>99.37920331091567</v>
      </c>
      <c r="D37" s="45">
        <f>EnrlAll!V37/'Total Population '!D37%</f>
        <v>95.339624839799612</v>
      </c>
      <c r="E37" s="45">
        <f>EnrlAll!W37/'Total Population '!E37%</f>
        <v>97.479175800087688</v>
      </c>
      <c r="F37" s="45">
        <f>EnrlAll!AG37/'Total Population '!F37%</f>
        <v>92.134423251589467</v>
      </c>
      <c r="G37" s="45">
        <f>EnrlAll!AH37/'Total Population '!G37%</f>
        <v>90.796385795335155</v>
      </c>
      <c r="H37" s="45">
        <f>EnrlAll!AI37/'Total Population '!H37%</f>
        <v>91.514029618082617</v>
      </c>
      <c r="I37" s="45">
        <f>EnrlAll!AJ37/('Total Population '!C37+'Total Population '!F37)%</f>
        <v>96.750164798945292</v>
      </c>
      <c r="J37" s="45">
        <f>EnrlAll!AK37/('Total Population '!D37+'Total Population '!G37)%</f>
        <v>93.719082596312404</v>
      </c>
      <c r="K37" s="45">
        <f>EnrlAll!AL37/('Total Population '!E37+'Total Population '!H37)%</f>
        <v>95.331790123456784</v>
      </c>
      <c r="L37" s="45">
        <f>EnrlAll!AS37/'Total Population '!I37%</f>
        <v>75.444473073950007</v>
      </c>
      <c r="M37" s="45">
        <f>EnrlAll!AT37/'Total Population '!J37%</f>
        <v>88.510354041416164</v>
      </c>
      <c r="N37" s="45">
        <f>EnrlAll!AU37/'Total Population '!K37%</f>
        <v>81.13454545454546</v>
      </c>
      <c r="O37" s="45">
        <f>EnrlAll!AV37/('Total Population '!C37+'Total Population '!F37+'Total Population '!I37)%</f>
        <v>92.409847252112755</v>
      </c>
      <c r="P37" s="45">
        <f>EnrlAll!AW37/('Total Population '!D37+'Total Population '!G37+'Total Population '!J37)%</f>
        <v>92.764446620959831</v>
      </c>
      <c r="Q37" s="45">
        <f>EnrlAll!AX37/('Total Population '!E37+'Total Population '!H37+'Total Population '!K37)%</f>
        <v>92.573543956820302</v>
      </c>
      <c r="R37" s="45">
        <f>EnrlAll!BE37/'Total Population '!L37%</f>
        <v>38.379959773267508</v>
      </c>
      <c r="S37" s="45">
        <f>EnrlAll!BF37/'Total Population '!M37%</f>
        <v>58.361891706648393</v>
      </c>
      <c r="T37" s="45">
        <f>EnrlAll!BG37/'Total Population '!N37%</f>
        <v>45.332061523786813</v>
      </c>
      <c r="U37" s="45">
        <f>(EnrlAll!AS37+EnrlAll!BE37)/('Total Population '!L37+'Total Population '!I37)%</f>
        <v>53.764705882352942</v>
      </c>
      <c r="V37" s="45">
        <f>(EnrlAll!AT37+EnrlAll!BF37)/('Total Population '!M37+'Total Population '!J37)%</f>
        <v>73.629905277401903</v>
      </c>
      <c r="W37" s="45">
        <f>(EnrlAll!AU37+EnrlAll!BG37)/('Total Population '!N37+'Total Population '!K37)%</f>
        <v>61.459834884025682</v>
      </c>
      <c r="X37" s="45">
        <f>EnrlAll!BH37/('Total Population '!C37+'Total Population '!F37+'Total Population '!I37+'Total Population '!L37)%</f>
        <v>80.358890701468198</v>
      </c>
      <c r="Y37" s="45">
        <f>EnrlAll!BI37/('Total Population '!D37+'Total Population '!G37+'Total Population '!J37+'Total Population '!M37)%</f>
        <v>87.550638828295419</v>
      </c>
      <c r="Z37" s="45">
        <f>EnrlAll!BJ37/('Total Population '!E37+'Total Population '!H37+'Total Population '!K37+'Total Population '!N37)%</f>
        <v>83.522182117238543</v>
      </c>
    </row>
    <row r="38" spans="1:26" s="35" customFormat="1" ht="19.5" customHeight="1">
      <c r="A38" s="25">
        <v>33</v>
      </c>
      <c r="B38" s="26" t="s">
        <v>43</v>
      </c>
      <c r="C38" s="45">
        <f>EnrlAll!U38/'Total Population '!C38%</f>
        <v>112.86878468244988</v>
      </c>
      <c r="D38" s="45">
        <f>EnrlAll!V38/'Total Population '!D38%</f>
        <v>116.79645018554339</v>
      </c>
      <c r="E38" s="45">
        <f>EnrlAll!W38/'Total Population '!E38%</f>
        <v>114.66934338052468</v>
      </c>
      <c r="F38" s="45">
        <f>EnrlAll!AG38/'Total Population '!F38%</f>
        <v>104.99823207477554</v>
      </c>
      <c r="G38" s="45">
        <f>EnrlAll!AH38/'Total Population '!G38%</f>
        <v>105.70445577356136</v>
      </c>
      <c r="H38" s="45">
        <f>EnrlAll!AI38/'Total Population '!H38%</f>
        <v>105.32146270140595</v>
      </c>
      <c r="I38" s="45">
        <f>EnrlAll!AJ38/('Total Population '!C38+'Total Population '!F38)%</f>
        <v>109.88835702465867</v>
      </c>
      <c r="J38" s="45">
        <f>EnrlAll!AK38/('Total Population '!D38+'Total Population '!G38)%</f>
        <v>112.60391161219528</v>
      </c>
      <c r="K38" s="45">
        <f>EnrlAll!AL38/('Total Population '!E38+'Total Population '!H38)%</f>
        <v>111.1324866617484</v>
      </c>
      <c r="L38" s="45">
        <f>EnrlAll!AS38/'Total Population '!I38%</f>
        <v>102.6673810939109</v>
      </c>
      <c r="M38" s="45">
        <f>EnrlAll!AT38/'Total Population '!J38%</f>
        <v>103.32124261199404</v>
      </c>
      <c r="N38" s="45">
        <f>EnrlAll!AU38/'Total Population '!K38%</f>
        <v>102.96606443906121</v>
      </c>
      <c r="O38" s="45">
        <f>EnrlAll!AV38/('Total Population '!C38+'Total Population '!F38+'Total Population '!I38)%</f>
        <v>108.39488586351412</v>
      </c>
      <c r="P38" s="45">
        <f>EnrlAll!AW38/('Total Population '!D38+'Total Population '!G38+'Total Population '!J38)%</f>
        <v>110.69230443298447</v>
      </c>
      <c r="Q38" s="45">
        <f>EnrlAll!AX38/('Total Population '!E38+'Total Population '!H38+'Total Population '!K38)%</f>
        <v>109.44680640680596</v>
      </c>
      <c r="R38" s="45">
        <f>EnrlAll!BE38/'Total Population '!L38%</f>
        <v>74.699997434047901</v>
      </c>
      <c r="S38" s="45">
        <f>EnrlAll!BF38/'Total Population '!M38%</f>
        <v>79.716569513770111</v>
      </c>
      <c r="T38" s="45">
        <f>EnrlAll!BG38/'Total Population '!N38%</f>
        <v>76.955355699684731</v>
      </c>
      <c r="U38" s="45">
        <f>(EnrlAll!AS38+EnrlAll!BE38)/('Total Population '!L38+'Total Population '!I38)%</f>
        <v>88.833213929113384</v>
      </c>
      <c r="V38" s="45">
        <f>(EnrlAll!AT38+EnrlAll!BF38)/('Total Population '!M38+'Total Population '!J38)%</f>
        <v>91.8169244823697</v>
      </c>
      <c r="W38" s="45">
        <f>(EnrlAll!AU38+EnrlAll!BG38)/('Total Population '!N38+'Total Population '!K38)%</f>
        <v>90.185588854644806</v>
      </c>
      <c r="X38" s="45">
        <f>EnrlAll!BH38/('Total Population '!C38+'Total Population '!F38+'Total Population '!I38+'Total Population '!L38)%</f>
        <v>102.72191229399053</v>
      </c>
      <c r="Y38" s="45">
        <f>EnrlAll!BI38/('Total Population '!D38+'Total Population '!G38+'Total Population '!J38+'Total Population '!M38)%</f>
        <v>105.62058079220552</v>
      </c>
      <c r="Z38" s="45">
        <f>EnrlAll!BJ38/('Total Population '!E38+'Total Population '!H38+'Total Population '!K38+'Total Population '!N38)%</f>
        <v>104.04513300979434</v>
      </c>
    </row>
    <row r="39" spans="1:26" s="35" customFormat="1" ht="19.5" customHeight="1">
      <c r="A39" s="25">
        <v>34</v>
      </c>
      <c r="B39" s="26" t="s">
        <v>44</v>
      </c>
      <c r="C39" s="45">
        <f>EnrlAll!U39/'Total Population '!C39%</f>
        <v>104.81075344888575</v>
      </c>
      <c r="D39" s="45">
        <f>EnrlAll!V39/'Total Population '!D39%</f>
        <v>100.32561505065122</v>
      </c>
      <c r="E39" s="45">
        <f>EnrlAll!W39/'Total Population '!E39%</f>
        <v>102.59345376497944</v>
      </c>
      <c r="F39" s="45">
        <f>EnrlAll!AG39/'Total Population '!F39%</f>
        <v>113.59807460890492</v>
      </c>
      <c r="G39" s="45">
        <f>EnrlAll!AH39/'Total Population '!G39%</f>
        <v>117.59747102212856</v>
      </c>
      <c r="H39" s="45">
        <f>EnrlAll!AI39/'Total Population '!H39%</f>
        <v>115.73033707865169</v>
      </c>
      <c r="I39" s="45">
        <f>EnrlAll!AJ39/('Total Population '!C39+'Total Population '!F39)%</f>
        <v>108.06415682780128</v>
      </c>
      <c r="J39" s="45">
        <f>EnrlAll!AK39/('Total Population '!D39+'Total Population '!G39)%</f>
        <v>107.35735735735736</v>
      </c>
      <c r="K39" s="45">
        <f>EnrlAll!AL39/('Total Population '!E39+'Total Population '!H39)%</f>
        <v>107.70407605726149</v>
      </c>
      <c r="L39" s="45">
        <f>EnrlAll!AS39/'Total Population '!I39%</f>
        <v>116.09498680738787</v>
      </c>
      <c r="M39" s="45">
        <f>EnrlAll!AT39/'Total Population '!J39%</f>
        <v>102.19106047326906</v>
      </c>
      <c r="N39" s="45">
        <f>EnrlAll!AU39/'Total Population '!K39%</f>
        <v>109.13081650570676</v>
      </c>
      <c r="O39" s="45">
        <f>EnrlAll!AV39/('Total Population '!C39+'Total Population '!F39+'Total Population '!I39)%</f>
        <v>109.6871667259154</v>
      </c>
      <c r="P39" s="45">
        <f>EnrlAll!AW39/('Total Population '!D39+'Total Population '!G39+'Total Population '!J39)%</f>
        <v>106.34154747544373</v>
      </c>
      <c r="Q39" s="45">
        <f>EnrlAll!AX39/('Total Population '!E39+'Total Population '!H39+'Total Population '!K39)%</f>
        <v>107.98845043310875</v>
      </c>
      <c r="R39" s="45">
        <f>EnrlAll!BE39/'Total Population '!L39%</f>
        <v>99.085923217550274</v>
      </c>
      <c r="S39" s="45">
        <f>EnrlAll!BF39/'Total Population '!M39%</f>
        <v>96.137699412258598</v>
      </c>
      <c r="T39" s="45">
        <f>EnrlAll!BG39/'Total Population '!N39%</f>
        <v>97.54923413566739</v>
      </c>
      <c r="U39" s="45">
        <f>(EnrlAll!AS39+EnrlAll!BE39)/('Total Population '!L39+'Total Population '!I39)%</f>
        <v>107.75437023756164</v>
      </c>
      <c r="V39" s="45">
        <f>(EnrlAll!AT39+EnrlAll!BF39)/('Total Population '!M39+'Total Population '!J39)%</f>
        <v>99.099485420240143</v>
      </c>
      <c r="W39" s="45">
        <f>(EnrlAll!AU39+EnrlAll!BG39)/('Total Population '!N39+'Total Population '!K39)%</f>
        <v>103.33114179268024</v>
      </c>
      <c r="X39" s="45">
        <f>EnrlAll!BH39/('Total Population '!C39+'Total Population '!F39+'Total Population '!I39+'Total Population '!L39)%</f>
        <v>107.96130952380952</v>
      </c>
      <c r="Y39" s="45">
        <f>EnrlAll!BI39/('Total Population '!D39+'Total Population '!G39+'Total Population '!J39+'Total Population '!M39)%</f>
        <v>104.60394623963397</v>
      </c>
      <c r="Z39" s="45">
        <f>EnrlAll!BJ39/('Total Population '!E39+'Total Population '!H39+'Total Population '!K39+'Total Population '!N39)%</f>
        <v>106.24908852267757</v>
      </c>
    </row>
    <row r="40" spans="1:26" s="35" customFormat="1" ht="19.5" customHeight="1">
      <c r="A40" s="25">
        <v>35</v>
      </c>
      <c r="B40" s="26" t="s">
        <v>45</v>
      </c>
      <c r="C40" s="45">
        <f>EnrlAll!U40/'Total Population '!C40%</f>
        <v>108.35890158778859</v>
      </c>
      <c r="D40" s="45">
        <f>EnrlAll!V40/'Total Population '!D40%</f>
        <v>106.60479257510902</v>
      </c>
      <c r="E40" s="45">
        <f>EnrlAll!W40/'Total Population '!E40%</f>
        <v>107.50034266021814</v>
      </c>
      <c r="F40" s="45">
        <f>EnrlAll!AG40/'Total Population '!F40%</f>
        <v>114.17418730287605</v>
      </c>
      <c r="G40" s="45">
        <f>EnrlAll!AH40/'Total Population '!G40%</f>
        <v>112.83563607924921</v>
      </c>
      <c r="H40" s="45">
        <f>EnrlAll!AI40/'Total Population '!H40%</f>
        <v>113.51915931814194</v>
      </c>
      <c r="I40" s="45">
        <f>EnrlAll!AJ40/('Total Population '!C40+'Total Population '!F40)%</f>
        <v>110.57133692126742</v>
      </c>
      <c r="J40" s="45">
        <f>EnrlAll!AK40/('Total Population '!D40+'Total Population '!G40)%</f>
        <v>108.97474033861332</v>
      </c>
      <c r="K40" s="45">
        <f>EnrlAll!AL40/('Total Population '!E40+'Total Population '!H40)%</f>
        <v>109.78993406246778</v>
      </c>
      <c r="L40" s="45">
        <f>EnrlAll!AS40/'Total Population '!I40%</f>
        <v>111.04640240465903</v>
      </c>
      <c r="M40" s="45">
        <f>EnrlAll!AT40/'Total Population '!J40%</f>
        <v>110.99173144526415</v>
      </c>
      <c r="N40" s="45">
        <f>EnrlAll!AU40/'Total Population '!K40%</f>
        <v>111.01978837764227</v>
      </c>
      <c r="O40" s="45">
        <f>EnrlAll!AV40/('Total Population '!C40+'Total Population '!F40+'Total Population '!I40)%</f>
        <v>110.66724822923678</v>
      </c>
      <c r="P40" s="45">
        <f>EnrlAll!AW40/('Total Population '!D40+'Total Population '!G40+'Total Population '!J40)%</f>
        <v>109.37856243618593</v>
      </c>
      <c r="Q40" s="45">
        <f>EnrlAll!AX40/('Total Population '!E40+'Total Population '!H40+'Total Population '!K40)%</f>
        <v>110.03721976136704</v>
      </c>
      <c r="R40" s="45">
        <f>EnrlAll!BE40/'Total Population '!L40%</f>
        <v>65.802567419643751</v>
      </c>
      <c r="S40" s="45">
        <f>EnrlAll!BF40/'Total Population '!M40%</f>
        <v>82.542795060681541</v>
      </c>
      <c r="T40" s="45">
        <f>EnrlAll!BG40/'Total Population '!N40%</f>
        <v>73.908691970128572</v>
      </c>
      <c r="U40" s="45">
        <f>(EnrlAll!AS40+EnrlAll!BE40)/('Total Population '!L40+'Total Population '!I40)%</f>
        <v>89.077071756462914</v>
      </c>
      <c r="V40" s="45">
        <f>(EnrlAll!AT40+EnrlAll!BF40)/('Total Population '!M40+'Total Population '!J40)%</f>
        <v>97.250806327753025</v>
      </c>
      <c r="W40" s="45">
        <f>(EnrlAll!AU40+EnrlAll!BG40)/('Total Population '!N40+'Total Population '!K40)%</f>
        <v>93.045888435915288</v>
      </c>
      <c r="X40" s="45">
        <f>EnrlAll!BH40/('Total Population '!C40+'Total Population '!F40+'Total Population '!I40+'Total Population '!L40)%</f>
        <v>103.48595503380828</v>
      </c>
      <c r="Y40" s="45">
        <f>EnrlAll!BI40/('Total Population '!D40+'Total Population '!G40+'Total Population '!J40+'Total Population '!M40)%</f>
        <v>105.14998162808564</v>
      </c>
      <c r="Z40" s="45">
        <f>EnrlAll!BJ40/('Total Population '!E40+'Total Population '!H40+'Total Population '!K40+'Total Population '!N40)%</f>
        <v>104.29825240818722</v>
      </c>
    </row>
    <row r="41" spans="1:26" s="87" customFormat="1" ht="19.5" customHeight="1">
      <c r="A41" s="286" t="s">
        <v>46</v>
      </c>
      <c r="B41" s="286"/>
      <c r="C41" s="92">
        <f>EnrlAll!U41/'Total Population '!C41%</f>
        <v>105.81547767912602</v>
      </c>
      <c r="D41" s="92">
        <f>EnrlAll!V41/'Total Population '!D41%</f>
        <v>107.14840945788632</v>
      </c>
      <c r="E41" s="92">
        <f>EnrlAll!W41/'Total Population '!E41%</f>
        <v>106.45201485102142</v>
      </c>
      <c r="F41" s="92">
        <f>EnrlAll!AG41/'Total Population '!F41%</f>
        <v>82.478317941952994</v>
      </c>
      <c r="G41" s="92">
        <f>EnrlAll!AH41/'Total Population '!G41%</f>
        <v>81.386782020033976</v>
      </c>
      <c r="H41" s="92">
        <f>EnrlAll!AI41/'Total Population '!H41%</f>
        <v>81.95688568399332</v>
      </c>
      <c r="I41" s="92">
        <f>EnrlAll!AJ41/('Total Population '!C41+'Total Population '!F41)%</f>
        <v>97.202820225923773</v>
      </c>
      <c r="J41" s="92">
        <f>EnrlAll!AK41/('Total Population '!D41+'Total Population '!G41)%</f>
        <v>97.637185734616025</v>
      </c>
      <c r="K41" s="92">
        <f>EnrlAll!AL41/('Total Population '!E41+'Total Population '!H41)%</f>
        <v>97.410275435378466</v>
      </c>
      <c r="L41" s="92">
        <f>EnrlAll!AS41/'Total Population '!I41%</f>
        <v>68.974458957701572</v>
      </c>
      <c r="M41" s="92">
        <f>EnrlAll!AT41/'Total Population '!J41%</f>
        <v>63.931989683718136</v>
      </c>
      <c r="N41" s="92">
        <f>EnrlAll!AU41/'Total Population '!K41%</f>
        <v>66.583925707747653</v>
      </c>
      <c r="O41" s="92">
        <f>EnrlAll!AV41/('Total Population '!C41+'Total Population '!F41+'Total Population '!I41)%</f>
        <v>91.607570850736195</v>
      </c>
      <c r="P41" s="92">
        <f>EnrlAll!AW41/('Total Population '!D41+'Total Population '!G41+'Total Population '!J41)%</f>
        <v>91.031740650771454</v>
      </c>
      <c r="Q41" s="92">
        <f>EnrlAll!AX41/('Total Population '!E41+'Total Population '!H41+'Total Population '!K41)%</f>
        <v>91.332951575361093</v>
      </c>
      <c r="R41" s="92">
        <f>EnrlAll!BE41/'Total Population '!L41%</f>
        <v>47.616444656383692</v>
      </c>
      <c r="S41" s="92">
        <f>EnrlAll!BF41/'Total Population '!M41%</f>
        <v>43.890035894387751</v>
      </c>
      <c r="T41" s="92">
        <f>EnrlAll!BG41/'Total Population '!N41%</f>
        <v>45.873031789350385</v>
      </c>
      <c r="U41" s="92">
        <f>(EnrlAll!AS41+EnrlAll!BE41)/('Total Population '!L41+'Total Population '!I41)%</f>
        <v>58.821861195590763</v>
      </c>
      <c r="V41" s="92">
        <f>(EnrlAll!AT41+EnrlAll!BF41)/('Total Population '!M41+'Total Population '!J41)%</f>
        <v>54.529813199263465</v>
      </c>
      <c r="W41" s="92">
        <f>(EnrlAll!AU41+EnrlAll!BG41)/('Total Population '!N41+'Total Population '!K41)%</f>
        <v>56.799712746478868</v>
      </c>
      <c r="X41" s="92">
        <f>EnrlAll!BH41/('Total Population '!C41+'Total Population '!F41+'Total Population '!I41+'Total Population '!L41)%</f>
        <v>84.910007488182657</v>
      </c>
      <c r="Y41" s="92">
        <f>EnrlAll!BI41/('Total Population '!D41+'Total Population '!G41+'Total Population '!J41+'Total Population '!M41)%</f>
        <v>84.072830530344149</v>
      </c>
      <c r="Z41" s="92">
        <f>EnrlAll!BJ41/('Total Population '!E41+'Total Population '!H41+'Total Population '!K41+'Total Population '!N41)%</f>
        <v>84.511886955851253</v>
      </c>
    </row>
    <row r="43" spans="1:26" s="263" customFormat="1"/>
    <row r="44" spans="1:26" s="263" customFormat="1"/>
    <row r="45" spans="1:26" s="263" customFormat="1">
      <c r="C45" s="263" t="s">
        <v>207</v>
      </c>
      <c r="D45" s="264" t="s">
        <v>209</v>
      </c>
      <c r="E45" s="263" t="s">
        <v>206</v>
      </c>
      <c r="F45" s="263" t="s">
        <v>208</v>
      </c>
    </row>
    <row r="46" spans="1:26" s="263" customFormat="1">
      <c r="C46" s="263" t="s">
        <v>210</v>
      </c>
      <c r="D46" s="265">
        <f>E41</f>
        <v>106.45201485102142</v>
      </c>
      <c r="E46" s="265">
        <f>[2]GERSC!$E$41</f>
        <v>131.36379535207107</v>
      </c>
      <c r="F46" s="265">
        <f>[2]GERST!$E$41</f>
        <v>136.96183348144382</v>
      </c>
    </row>
    <row r="47" spans="1:26" s="263" customFormat="1">
      <c r="C47" s="263" t="s">
        <v>211</v>
      </c>
      <c r="D47" s="265">
        <f>H41</f>
        <v>81.95688568399332</v>
      </c>
      <c r="E47" s="265">
        <f>[2]GERSC!$H$41</f>
        <v>92.237272363158993</v>
      </c>
      <c r="F47" s="265">
        <f>[2]GERST!$H$41</f>
        <v>88.880260604953548</v>
      </c>
    </row>
    <row r="48" spans="1:26" s="263" customFormat="1">
      <c r="C48" s="263" t="s">
        <v>212</v>
      </c>
      <c r="D48" s="265">
        <f>N41</f>
        <v>66.583925707747653</v>
      </c>
      <c r="E48" s="265">
        <f>[2]GERSC!$N$41</f>
        <v>70.71812793418087</v>
      </c>
      <c r="F48" s="265">
        <f>[2]GERST!$N$41</f>
        <v>53.25606515288235</v>
      </c>
    </row>
    <row r="49" spans="3:6" s="263" customFormat="1">
      <c r="C49" s="263" t="s">
        <v>213</v>
      </c>
      <c r="D49" s="265">
        <f>T41</f>
        <v>45.873031789350385</v>
      </c>
      <c r="E49" s="265">
        <f>[2]GERSC!$T$41</f>
        <v>38.510723711956111</v>
      </c>
      <c r="F49" s="265">
        <f>[2]GERST!$T$41</f>
        <v>28.802414923927071</v>
      </c>
    </row>
    <row r="50" spans="3:6" s="263" customFormat="1"/>
    <row r="51" spans="3:6" s="263" customFormat="1"/>
    <row r="52" spans="3:6" s="263" customFormat="1"/>
    <row r="53" spans="3:6" s="263" customFormat="1"/>
    <row r="54" spans="3:6" s="263" customFormat="1"/>
    <row r="55" spans="3:6" s="263" customFormat="1"/>
    <row r="56" spans="3:6" s="263" customFormat="1"/>
  </sheetData>
  <mergeCells count="11">
    <mergeCell ref="A41:B41"/>
    <mergeCell ref="O3:Q3"/>
    <mergeCell ref="R3:T3"/>
    <mergeCell ref="U3:W3"/>
    <mergeCell ref="X3:Z3"/>
    <mergeCell ref="A3:A4"/>
    <mergeCell ref="B3:B4"/>
    <mergeCell ref="C3:E3"/>
    <mergeCell ref="F3:H3"/>
    <mergeCell ref="I3:K3"/>
    <mergeCell ref="L3:N3"/>
  </mergeCells>
  <printOptions horizontalCentered="1"/>
  <pageMargins left="0.2" right="0.22" top="0.44" bottom="0.59" header="0.2" footer="0.33"/>
  <pageSetup paperSize="9" scale="98" firstPageNumber="48" orientation="portrait" useFirstPageNumber="1" r:id="rId1"/>
  <headerFooter alignWithMargins="0">
    <oddFooter>&amp;LSTATISTICS OF SCHOOL EDUCATION 2011-12&amp;R&amp;P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J42"/>
  <sheetViews>
    <sheetView view="pageBreakPreview" topLeftCell="G1" zoomScaleSheetLayoutView="100" workbookViewId="0">
      <selection activeCell="I6" sqref="I6"/>
    </sheetView>
  </sheetViews>
  <sheetFormatPr defaultColWidth="8.85546875" defaultRowHeight="15.75"/>
  <cols>
    <col min="1" max="1" width="6.140625" style="5" customWidth="1"/>
    <col min="2" max="2" width="19.7109375" style="5" customWidth="1"/>
    <col min="3" max="26" width="11.5703125" style="5" customWidth="1"/>
    <col min="27" max="109" width="8.85546875" style="5"/>
    <col min="110" max="110" width="6.140625" style="5" customWidth="1"/>
    <col min="111" max="111" width="20.28515625" style="5" customWidth="1"/>
    <col min="112" max="112" width="12.42578125" style="5" customWidth="1"/>
    <col min="113" max="113" width="13" style="5" customWidth="1"/>
    <col min="114" max="114" width="12.5703125" style="5" customWidth="1"/>
    <col min="115" max="128" width="11.7109375" style="5" customWidth="1"/>
    <col min="129" max="129" width="12.28515625" style="5" customWidth="1"/>
    <col min="130" max="130" width="11.7109375" style="5" customWidth="1"/>
    <col min="131" max="131" width="12.85546875" style="5" customWidth="1"/>
    <col min="132" max="132" width="11.7109375" style="5" customWidth="1"/>
    <col min="133" max="133" width="12.7109375" style="5" customWidth="1"/>
    <col min="134" max="134" width="11.7109375" style="5" customWidth="1"/>
    <col min="135" max="135" width="13" style="5" customWidth="1"/>
    <col min="136" max="147" width="11.7109375" style="5" customWidth="1"/>
    <col min="148" max="148" width="12.5703125" style="5" customWidth="1"/>
    <col min="149" max="149" width="11.7109375" style="5" customWidth="1"/>
    <col min="150" max="150" width="13" style="5" customWidth="1"/>
    <col min="151" max="156" width="11.7109375" style="5" customWidth="1"/>
    <col min="157" max="157" width="13.7109375" style="5" customWidth="1"/>
    <col min="158" max="158" width="13.140625" style="5" customWidth="1"/>
    <col min="159" max="162" width="13" style="5" customWidth="1"/>
    <col min="163" max="169" width="11.7109375" style="5" customWidth="1"/>
    <col min="170" max="170" width="10.85546875" style="5" customWidth="1"/>
    <col min="171" max="171" width="11.7109375" style="5" customWidth="1"/>
    <col min="172" max="174" width="22.7109375" style="5" customWidth="1"/>
    <col min="175" max="177" width="20.7109375" style="5" customWidth="1"/>
    <col min="178" max="365" width="8.85546875" style="5"/>
    <col min="366" max="366" width="6.140625" style="5" customWidth="1"/>
    <col min="367" max="367" width="20.28515625" style="5" customWidth="1"/>
    <col min="368" max="368" width="12.42578125" style="5" customWidth="1"/>
    <col min="369" max="369" width="13" style="5" customWidth="1"/>
    <col min="370" max="370" width="12.5703125" style="5" customWidth="1"/>
    <col min="371" max="384" width="11.7109375" style="5" customWidth="1"/>
    <col min="385" max="385" width="12.28515625" style="5" customWidth="1"/>
    <col min="386" max="386" width="11.7109375" style="5" customWidth="1"/>
    <col min="387" max="387" width="12.85546875" style="5" customWidth="1"/>
    <col min="388" max="388" width="11.7109375" style="5" customWidth="1"/>
    <col min="389" max="389" width="12.7109375" style="5" customWidth="1"/>
    <col min="390" max="390" width="11.7109375" style="5" customWidth="1"/>
    <col min="391" max="391" width="13" style="5" customWidth="1"/>
    <col min="392" max="403" width="11.7109375" style="5" customWidth="1"/>
    <col min="404" max="404" width="12.5703125" style="5" customWidth="1"/>
    <col min="405" max="405" width="11.7109375" style="5" customWidth="1"/>
    <col min="406" max="406" width="13" style="5" customWidth="1"/>
    <col min="407" max="412" width="11.7109375" style="5" customWidth="1"/>
    <col min="413" max="413" width="13.7109375" style="5" customWidth="1"/>
    <col min="414" max="414" width="13.140625" style="5" customWidth="1"/>
    <col min="415" max="418" width="13" style="5" customWidth="1"/>
    <col min="419" max="425" width="11.7109375" style="5" customWidth="1"/>
    <col min="426" max="426" width="10.85546875" style="5" customWidth="1"/>
    <col min="427" max="427" width="11.7109375" style="5" customWidth="1"/>
    <col min="428" max="430" width="22.7109375" style="5" customWidth="1"/>
    <col min="431" max="433" width="20.7109375" style="5" customWidth="1"/>
    <col min="434" max="621" width="8.85546875" style="5"/>
    <col min="622" max="622" width="6.140625" style="5" customWidth="1"/>
    <col min="623" max="623" width="20.28515625" style="5" customWidth="1"/>
    <col min="624" max="624" width="12.42578125" style="5" customWidth="1"/>
    <col min="625" max="625" width="13" style="5" customWidth="1"/>
    <col min="626" max="626" width="12.5703125" style="5" customWidth="1"/>
    <col min="627" max="640" width="11.7109375" style="5" customWidth="1"/>
    <col min="641" max="641" width="12.28515625" style="5" customWidth="1"/>
    <col min="642" max="642" width="11.7109375" style="5" customWidth="1"/>
    <col min="643" max="643" width="12.85546875" style="5" customWidth="1"/>
    <col min="644" max="644" width="11.7109375" style="5" customWidth="1"/>
    <col min="645" max="645" width="12.7109375" style="5" customWidth="1"/>
    <col min="646" max="646" width="11.7109375" style="5" customWidth="1"/>
    <col min="647" max="647" width="13" style="5" customWidth="1"/>
    <col min="648" max="659" width="11.7109375" style="5" customWidth="1"/>
    <col min="660" max="660" width="12.5703125" style="5" customWidth="1"/>
    <col min="661" max="661" width="11.7109375" style="5" customWidth="1"/>
    <col min="662" max="662" width="13" style="5" customWidth="1"/>
    <col min="663" max="668" width="11.7109375" style="5" customWidth="1"/>
    <col min="669" max="669" width="13.7109375" style="5" customWidth="1"/>
    <col min="670" max="670" width="13.140625" style="5" customWidth="1"/>
    <col min="671" max="674" width="13" style="5" customWidth="1"/>
    <col min="675" max="681" width="11.7109375" style="5" customWidth="1"/>
    <col min="682" max="682" width="10.85546875" style="5" customWidth="1"/>
    <col min="683" max="683" width="11.7109375" style="5" customWidth="1"/>
    <col min="684" max="686" width="22.7109375" style="5" customWidth="1"/>
    <col min="687" max="689" width="20.7109375" style="5" customWidth="1"/>
    <col min="690" max="877" width="8.85546875" style="5"/>
    <col min="878" max="878" width="6.140625" style="5" customWidth="1"/>
    <col min="879" max="879" width="20.28515625" style="5" customWidth="1"/>
    <col min="880" max="880" width="12.42578125" style="5" customWidth="1"/>
    <col min="881" max="881" width="13" style="5" customWidth="1"/>
    <col min="882" max="882" width="12.5703125" style="5" customWidth="1"/>
    <col min="883" max="896" width="11.7109375" style="5" customWidth="1"/>
    <col min="897" max="897" width="12.28515625" style="5" customWidth="1"/>
    <col min="898" max="898" width="11.7109375" style="5" customWidth="1"/>
    <col min="899" max="899" width="12.85546875" style="5" customWidth="1"/>
    <col min="900" max="900" width="11.7109375" style="5" customWidth="1"/>
    <col min="901" max="901" width="12.7109375" style="5" customWidth="1"/>
    <col min="902" max="902" width="11.7109375" style="5" customWidth="1"/>
    <col min="903" max="903" width="13" style="5" customWidth="1"/>
    <col min="904" max="915" width="11.7109375" style="5" customWidth="1"/>
    <col min="916" max="916" width="12.5703125" style="5" customWidth="1"/>
    <col min="917" max="917" width="11.7109375" style="5" customWidth="1"/>
    <col min="918" max="918" width="13" style="5" customWidth="1"/>
    <col min="919" max="924" width="11.7109375" style="5" customWidth="1"/>
    <col min="925" max="925" width="13.7109375" style="5" customWidth="1"/>
    <col min="926" max="926" width="13.140625" style="5" customWidth="1"/>
    <col min="927" max="930" width="13" style="5" customWidth="1"/>
    <col min="931" max="937" width="11.7109375" style="5" customWidth="1"/>
    <col min="938" max="938" width="10.85546875" style="5" customWidth="1"/>
    <col min="939" max="939" width="11.7109375" style="5" customWidth="1"/>
    <col min="940" max="942" width="22.7109375" style="5" customWidth="1"/>
    <col min="943" max="945" width="20.7109375" style="5" customWidth="1"/>
    <col min="946" max="1133" width="8.85546875" style="5"/>
    <col min="1134" max="1134" width="6.140625" style="5" customWidth="1"/>
    <col min="1135" max="1135" width="20.28515625" style="5" customWidth="1"/>
    <col min="1136" max="1136" width="12.42578125" style="5" customWidth="1"/>
    <col min="1137" max="1137" width="13" style="5" customWidth="1"/>
    <col min="1138" max="1138" width="12.5703125" style="5" customWidth="1"/>
    <col min="1139" max="1152" width="11.7109375" style="5" customWidth="1"/>
    <col min="1153" max="1153" width="12.28515625" style="5" customWidth="1"/>
    <col min="1154" max="1154" width="11.7109375" style="5" customWidth="1"/>
    <col min="1155" max="1155" width="12.85546875" style="5" customWidth="1"/>
    <col min="1156" max="1156" width="11.7109375" style="5" customWidth="1"/>
    <col min="1157" max="1157" width="12.7109375" style="5" customWidth="1"/>
    <col min="1158" max="1158" width="11.7109375" style="5" customWidth="1"/>
    <col min="1159" max="1159" width="13" style="5" customWidth="1"/>
    <col min="1160" max="1171" width="11.7109375" style="5" customWidth="1"/>
    <col min="1172" max="1172" width="12.5703125" style="5" customWidth="1"/>
    <col min="1173" max="1173" width="11.7109375" style="5" customWidth="1"/>
    <col min="1174" max="1174" width="13" style="5" customWidth="1"/>
    <col min="1175" max="1180" width="11.7109375" style="5" customWidth="1"/>
    <col min="1181" max="1181" width="13.7109375" style="5" customWidth="1"/>
    <col min="1182" max="1182" width="13.140625" style="5" customWidth="1"/>
    <col min="1183" max="1186" width="13" style="5" customWidth="1"/>
    <col min="1187" max="1193" width="11.7109375" style="5" customWidth="1"/>
    <col min="1194" max="1194" width="10.85546875" style="5" customWidth="1"/>
    <col min="1195" max="1195" width="11.7109375" style="5" customWidth="1"/>
    <col min="1196" max="1198" width="22.7109375" style="5" customWidth="1"/>
    <col min="1199" max="1201" width="20.7109375" style="5" customWidth="1"/>
    <col min="1202" max="1389" width="8.85546875" style="5"/>
    <col min="1390" max="1390" width="6.140625" style="5" customWidth="1"/>
    <col min="1391" max="1391" width="20.28515625" style="5" customWidth="1"/>
    <col min="1392" max="1392" width="12.42578125" style="5" customWidth="1"/>
    <col min="1393" max="1393" width="13" style="5" customWidth="1"/>
    <col min="1394" max="1394" width="12.5703125" style="5" customWidth="1"/>
    <col min="1395" max="1408" width="11.7109375" style="5" customWidth="1"/>
    <col min="1409" max="1409" width="12.28515625" style="5" customWidth="1"/>
    <col min="1410" max="1410" width="11.7109375" style="5" customWidth="1"/>
    <col min="1411" max="1411" width="12.85546875" style="5" customWidth="1"/>
    <col min="1412" max="1412" width="11.7109375" style="5" customWidth="1"/>
    <col min="1413" max="1413" width="12.7109375" style="5" customWidth="1"/>
    <col min="1414" max="1414" width="11.7109375" style="5" customWidth="1"/>
    <col min="1415" max="1415" width="13" style="5" customWidth="1"/>
    <col min="1416" max="1427" width="11.7109375" style="5" customWidth="1"/>
    <col min="1428" max="1428" width="12.5703125" style="5" customWidth="1"/>
    <col min="1429" max="1429" width="11.7109375" style="5" customWidth="1"/>
    <col min="1430" max="1430" width="13" style="5" customWidth="1"/>
    <col min="1431" max="1436" width="11.7109375" style="5" customWidth="1"/>
    <col min="1437" max="1437" width="13.7109375" style="5" customWidth="1"/>
    <col min="1438" max="1438" width="13.140625" style="5" customWidth="1"/>
    <col min="1439" max="1442" width="13" style="5" customWidth="1"/>
    <col min="1443" max="1449" width="11.7109375" style="5" customWidth="1"/>
    <col min="1450" max="1450" width="10.85546875" style="5" customWidth="1"/>
    <col min="1451" max="1451" width="11.7109375" style="5" customWidth="1"/>
    <col min="1452" max="1454" width="22.7109375" style="5" customWidth="1"/>
    <col min="1455" max="1457" width="20.7109375" style="5" customWidth="1"/>
    <col min="1458" max="1645" width="8.85546875" style="5"/>
    <col min="1646" max="1646" width="6.140625" style="5" customWidth="1"/>
    <col min="1647" max="1647" width="20.28515625" style="5" customWidth="1"/>
    <col min="1648" max="1648" width="12.42578125" style="5" customWidth="1"/>
    <col min="1649" max="1649" width="13" style="5" customWidth="1"/>
    <col min="1650" max="1650" width="12.5703125" style="5" customWidth="1"/>
    <col min="1651" max="1664" width="11.7109375" style="5" customWidth="1"/>
    <col min="1665" max="1665" width="12.28515625" style="5" customWidth="1"/>
    <col min="1666" max="1666" width="11.7109375" style="5" customWidth="1"/>
    <col min="1667" max="1667" width="12.85546875" style="5" customWidth="1"/>
    <col min="1668" max="1668" width="11.7109375" style="5" customWidth="1"/>
    <col min="1669" max="1669" width="12.7109375" style="5" customWidth="1"/>
    <col min="1670" max="1670" width="11.7109375" style="5" customWidth="1"/>
    <col min="1671" max="1671" width="13" style="5" customWidth="1"/>
    <col min="1672" max="1683" width="11.7109375" style="5" customWidth="1"/>
    <col min="1684" max="1684" width="12.5703125" style="5" customWidth="1"/>
    <col min="1685" max="1685" width="11.7109375" style="5" customWidth="1"/>
    <col min="1686" max="1686" width="13" style="5" customWidth="1"/>
    <col min="1687" max="1692" width="11.7109375" style="5" customWidth="1"/>
    <col min="1693" max="1693" width="13.7109375" style="5" customWidth="1"/>
    <col min="1694" max="1694" width="13.140625" style="5" customWidth="1"/>
    <col min="1695" max="1698" width="13" style="5" customWidth="1"/>
    <col min="1699" max="1705" width="11.7109375" style="5" customWidth="1"/>
    <col min="1706" max="1706" width="10.85546875" style="5" customWidth="1"/>
    <col min="1707" max="1707" width="11.7109375" style="5" customWidth="1"/>
    <col min="1708" max="1710" width="22.7109375" style="5" customWidth="1"/>
    <col min="1711" max="1713" width="20.7109375" style="5" customWidth="1"/>
    <col min="1714" max="1901" width="8.85546875" style="5"/>
    <col min="1902" max="1902" width="6.140625" style="5" customWidth="1"/>
    <col min="1903" max="1903" width="20.28515625" style="5" customWidth="1"/>
    <col min="1904" max="1904" width="12.42578125" style="5" customWidth="1"/>
    <col min="1905" max="1905" width="13" style="5" customWidth="1"/>
    <col min="1906" max="1906" width="12.5703125" style="5" customWidth="1"/>
    <col min="1907" max="1920" width="11.7109375" style="5" customWidth="1"/>
    <col min="1921" max="1921" width="12.28515625" style="5" customWidth="1"/>
    <col min="1922" max="1922" width="11.7109375" style="5" customWidth="1"/>
    <col min="1923" max="1923" width="12.85546875" style="5" customWidth="1"/>
    <col min="1924" max="1924" width="11.7109375" style="5" customWidth="1"/>
    <col min="1925" max="1925" width="12.7109375" style="5" customWidth="1"/>
    <col min="1926" max="1926" width="11.7109375" style="5" customWidth="1"/>
    <col min="1927" max="1927" width="13" style="5" customWidth="1"/>
    <col min="1928" max="1939" width="11.7109375" style="5" customWidth="1"/>
    <col min="1940" max="1940" width="12.5703125" style="5" customWidth="1"/>
    <col min="1941" max="1941" width="11.7109375" style="5" customWidth="1"/>
    <col min="1942" max="1942" width="13" style="5" customWidth="1"/>
    <col min="1943" max="1948" width="11.7109375" style="5" customWidth="1"/>
    <col min="1949" max="1949" width="13.7109375" style="5" customWidth="1"/>
    <col min="1950" max="1950" width="13.140625" style="5" customWidth="1"/>
    <col min="1951" max="1954" width="13" style="5" customWidth="1"/>
    <col min="1955" max="1961" width="11.7109375" style="5" customWidth="1"/>
    <col min="1962" max="1962" width="10.85546875" style="5" customWidth="1"/>
    <col min="1963" max="1963" width="11.7109375" style="5" customWidth="1"/>
    <col min="1964" max="1966" width="22.7109375" style="5" customWidth="1"/>
    <col min="1967" max="1969" width="20.7109375" style="5" customWidth="1"/>
    <col min="1970" max="2157" width="8.85546875" style="5"/>
    <col min="2158" max="2158" width="6.140625" style="5" customWidth="1"/>
    <col min="2159" max="2159" width="20.28515625" style="5" customWidth="1"/>
    <col min="2160" max="2160" width="12.42578125" style="5" customWidth="1"/>
    <col min="2161" max="2161" width="13" style="5" customWidth="1"/>
    <col min="2162" max="2162" width="12.5703125" style="5" customWidth="1"/>
    <col min="2163" max="2176" width="11.7109375" style="5" customWidth="1"/>
    <col min="2177" max="2177" width="12.28515625" style="5" customWidth="1"/>
    <col min="2178" max="2178" width="11.7109375" style="5" customWidth="1"/>
    <col min="2179" max="2179" width="12.85546875" style="5" customWidth="1"/>
    <col min="2180" max="2180" width="11.7109375" style="5" customWidth="1"/>
    <col min="2181" max="2181" width="12.7109375" style="5" customWidth="1"/>
    <col min="2182" max="2182" width="11.7109375" style="5" customWidth="1"/>
    <col min="2183" max="2183" width="13" style="5" customWidth="1"/>
    <col min="2184" max="2195" width="11.7109375" style="5" customWidth="1"/>
    <col min="2196" max="2196" width="12.5703125" style="5" customWidth="1"/>
    <col min="2197" max="2197" width="11.7109375" style="5" customWidth="1"/>
    <col min="2198" max="2198" width="13" style="5" customWidth="1"/>
    <col min="2199" max="2204" width="11.7109375" style="5" customWidth="1"/>
    <col min="2205" max="2205" width="13.7109375" style="5" customWidth="1"/>
    <col min="2206" max="2206" width="13.140625" style="5" customWidth="1"/>
    <col min="2207" max="2210" width="13" style="5" customWidth="1"/>
    <col min="2211" max="2217" width="11.7109375" style="5" customWidth="1"/>
    <col min="2218" max="2218" width="10.85546875" style="5" customWidth="1"/>
    <col min="2219" max="2219" width="11.7109375" style="5" customWidth="1"/>
    <col min="2220" max="2222" width="22.7109375" style="5" customWidth="1"/>
    <col min="2223" max="2225" width="20.7109375" style="5" customWidth="1"/>
    <col min="2226" max="2413" width="8.85546875" style="5"/>
    <col min="2414" max="2414" width="6.140625" style="5" customWidth="1"/>
    <col min="2415" max="2415" width="20.28515625" style="5" customWidth="1"/>
    <col min="2416" max="2416" width="12.42578125" style="5" customWidth="1"/>
    <col min="2417" max="2417" width="13" style="5" customWidth="1"/>
    <col min="2418" max="2418" width="12.5703125" style="5" customWidth="1"/>
    <col min="2419" max="2432" width="11.7109375" style="5" customWidth="1"/>
    <col min="2433" max="2433" width="12.28515625" style="5" customWidth="1"/>
    <col min="2434" max="2434" width="11.7109375" style="5" customWidth="1"/>
    <col min="2435" max="2435" width="12.85546875" style="5" customWidth="1"/>
    <col min="2436" max="2436" width="11.7109375" style="5" customWidth="1"/>
    <col min="2437" max="2437" width="12.7109375" style="5" customWidth="1"/>
    <col min="2438" max="2438" width="11.7109375" style="5" customWidth="1"/>
    <col min="2439" max="2439" width="13" style="5" customWidth="1"/>
    <col min="2440" max="2451" width="11.7109375" style="5" customWidth="1"/>
    <col min="2452" max="2452" width="12.5703125" style="5" customWidth="1"/>
    <col min="2453" max="2453" width="11.7109375" style="5" customWidth="1"/>
    <col min="2454" max="2454" width="13" style="5" customWidth="1"/>
    <col min="2455" max="2460" width="11.7109375" style="5" customWidth="1"/>
    <col min="2461" max="2461" width="13.7109375" style="5" customWidth="1"/>
    <col min="2462" max="2462" width="13.140625" style="5" customWidth="1"/>
    <col min="2463" max="2466" width="13" style="5" customWidth="1"/>
    <col min="2467" max="2473" width="11.7109375" style="5" customWidth="1"/>
    <col min="2474" max="2474" width="10.85546875" style="5" customWidth="1"/>
    <col min="2475" max="2475" width="11.7109375" style="5" customWidth="1"/>
    <col min="2476" max="2478" width="22.7109375" style="5" customWidth="1"/>
    <col min="2479" max="2481" width="20.7109375" style="5" customWidth="1"/>
    <col min="2482" max="2669" width="8.85546875" style="5"/>
    <col min="2670" max="2670" width="6.140625" style="5" customWidth="1"/>
    <col min="2671" max="2671" width="20.28515625" style="5" customWidth="1"/>
    <col min="2672" max="2672" width="12.42578125" style="5" customWidth="1"/>
    <col min="2673" max="2673" width="13" style="5" customWidth="1"/>
    <col min="2674" max="2674" width="12.5703125" style="5" customWidth="1"/>
    <col min="2675" max="2688" width="11.7109375" style="5" customWidth="1"/>
    <col min="2689" max="2689" width="12.28515625" style="5" customWidth="1"/>
    <col min="2690" max="2690" width="11.7109375" style="5" customWidth="1"/>
    <col min="2691" max="2691" width="12.85546875" style="5" customWidth="1"/>
    <col min="2692" max="2692" width="11.7109375" style="5" customWidth="1"/>
    <col min="2693" max="2693" width="12.7109375" style="5" customWidth="1"/>
    <col min="2694" max="2694" width="11.7109375" style="5" customWidth="1"/>
    <col min="2695" max="2695" width="13" style="5" customWidth="1"/>
    <col min="2696" max="2707" width="11.7109375" style="5" customWidth="1"/>
    <col min="2708" max="2708" width="12.5703125" style="5" customWidth="1"/>
    <col min="2709" max="2709" width="11.7109375" style="5" customWidth="1"/>
    <col min="2710" max="2710" width="13" style="5" customWidth="1"/>
    <col min="2711" max="2716" width="11.7109375" style="5" customWidth="1"/>
    <col min="2717" max="2717" width="13.7109375" style="5" customWidth="1"/>
    <col min="2718" max="2718" width="13.140625" style="5" customWidth="1"/>
    <col min="2719" max="2722" width="13" style="5" customWidth="1"/>
    <col min="2723" max="2729" width="11.7109375" style="5" customWidth="1"/>
    <col min="2730" max="2730" width="10.85546875" style="5" customWidth="1"/>
    <col min="2731" max="2731" width="11.7109375" style="5" customWidth="1"/>
    <col min="2732" max="2734" width="22.7109375" style="5" customWidth="1"/>
    <col min="2735" max="2737" width="20.7109375" style="5" customWidth="1"/>
    <col min="2738" max="2925" width="8.85546875" style="5"/>
    <col min="2926" max="2926" width="6.140625" style="5" customWidth="1"/>
    <col min="2927" max="2927" width="20.28515625" style="5" customWidth="1"/>
    <col min="2928" max="2928" width="12.42578125" style="5" customWidth="1"/>
    <col min="2929" max="2929" width="13" style="5" customWidth="1"/>
    <col min="2930" max="2930" width="12.5703125" style="5" customWidth="1"/>
    <col min="2931" max="2944" width="11.7109375" style="5" customWidth="1"/>
    <col min="2945" max="2945" width="12.28515625" style="5" customWidth="1"/>
    <col min="2946" max="2946" width="11.7109375" style="5" customWidth="1"/>
    <col min="2947" max="2947" width="12.85546875" style="5" customWidth="1"/>
    <col min="2948" max="2948" width="11.7109375" style="5" customWidth="1"/>
    <col min="2949" max="2949" width="12.7109375" style="5" customWidth="1"/>
    <col min="2950" max="2950" width="11.7109375" style="5" customWidth="1"/>
    <col min="2951" max="2951" width="13" style="5" customWidth="1"/>
    <col min="2952" max="2963" width="11.7109375" style="5" customWidth="1"/>
    <col min="2964" max="2964" width="12.5703125" style="5" customWidth="1"/>
    <col min="2965" max="2965" width="11.7109375" style="5" customWidth="1"/>
    <col min="2966" max="2966" width="13" style="5" customWidth="1"/>
    <col min="2967" max="2972" width="11.7109375" style="5" customWidth="1"/>
    <col min="2973" max="2973" width="13.7109375" style="5" customWidth="1"/>
    <col min="2974" max="2974" width="13.140625" style="5" customWidth="1"/>
    <col min="2975" max="2978" width="13" style="5" customWidth="1"/>
    <col min="2979" max="2985" width="11.7109375" style="5" customWidth="1"/>
    <col min="2986" max="2986" width="10.85546875" style="5" customWidth="1"/>
    <col min="2987" max="2987" width="11.7109375" style="5" customWidth="1"/>
    <col min="2988" max="2990" width="22.7109375" style="5" customWidth="1"/>
    <col min="2991" max="2993" width="20.7109375" style="5" customWidth="1"/>
    <col min="2994" max="3181" width="8.85546875" style="5"/>
    <col min="3182" max="3182" width="6.140625" style="5" customWidth="1"/>
    <col min="3183" max="3183" width="20.28515625" style="5" customWidth="1"/>
    <col min="3184" max="3184" width="12.42578125" style="5" customWidth="1"/>
    <col min="3185" max="3185" width="13" style="5" customWidth="1"/>
    <col min="3186" max="3186" width="12.5703125" style="5" customWidth="1"/>
    <col min="3187" max="3200" width="11.7109375" style="5" customWidth="1"/>
    <col min="3201" max="3201" width="12.28515625" style="5" customWidth="1"/>
    <col min="3202" max="3202" width="11.7109375" style="5" customWidth="1"/>
    <col min="3203" max="3203" width="12.85546875" style="5" customWidth="1"/>
    <col min="3204" max="3204" width="11.7109375" style="5" customWidth="1"/>
    <col min="3205" max="3205" width="12.7109375" style="5" customWidth="1"/>
    <col min="3206" max="3206" width="11.7109375" style="5" customWidth="1"/>
    <col min="3207" max="3207" width="13" style="5" customWidth="1"/>
    <col min="3208" max="3219" width="11.7109375" style="5" customWidth="1"/>
    <col min="3220" max="3220" width="12.5703125" style="5" customWidth="1"/>
    <col min="3221" max="3221" width="11.7109375" style="5" customWidth="1"/>
    <col min="3222" max="3222" width="13" style="5" customWidth="1"/>
    <col min="3223" max="3228" width="11.7109375" style="5" customWidth="1"/>
    <col min="3229" max="3229" width="13.7109375" style="5" customWidth="1"/>
    <col min="3230" max="3230" width="13.140625" style="5" customWidth="1"/>
    <col min="3231" max="3234" width="13" style="5" customWidth="1"/>
    <col min="3235" max="3241" width="11.7109375" style="5" customWidth="1"/>
    <col min="3242" max="3242" width="10.85546875" style="5" customWidth="1"/>
    <col min="3243" max="3243" width="11.7109375" style="5" customWidth="1"/>
    <col min="3244" max="3246" width="22.7109375" style="5" customWidth="1"/>
    <col min="3247" max="3249" width="20.7109375" style="5" customWidth="1"/>
    <col min="3250" max="3437" width="8.85546875" style="5"/>
    <col min="3438" max="3438" width="6.140625" style="5" customWidth="1"/>
    <col min="3439" max="3439" width="20.28515625" style="5" customWidth="1"/>
    <col min="3440" max="3440" width="12.42578125" style="5" customWidth="1"/>
    <col min="3441" max="3441" width="13" style="5" customWidth="1"/>
    <col min="3442" max="3442" width="12.5703125" style="5" customWidth="1"/>
    <col min="3443" max="3456" width="11.7109375" style="5" customWidth="1"/>
    <col min="3457" max="3457" width="12.28515625" style="5" customWidth="1"/>
    <col min="3458" max="3458" width="11.7109375" style="5" customWidth="1"/>
    <col min="3459" max="3459" width="12.85546875" style="5" customWidth="1"/>
    <col min="3460" max="3460" width="11.7109375" style="5" customWidth="1"/>
    <col min="3461" max="3461" width="12.7109375" style="5" customWidth="1"/>
    <col min="3462" max="3462" width="11.7109375" style="5" customWidth="1"/>
    <col min="3463" max="3463" width="13" style="5" customWidth="1"/>
    <col min="3464" max="3475" width="11.7109375" style="5" customWidth="1"/>
    <col min="3476" max="3476" width="12.5703125" style="5" customWidth="1"/>
    <col min="3477" max="3477" width="11.7109375" style="5" customWidth="1"/>
    <col min="3478" max="3478" width="13" style="5" customWidth="1"/>
    <col min="3479" max="3484" width="11.7109375" style="5" customWidth="1"/>
    <col min="3485" max="3485" width="13.7109375" style="5" customWidth="1"/>
    <col min="3486" max="3486" width="13.140625" style="5" customWidth="1"/>
    <col min="3487" max="3490" width="13" style="5" customWidth="1"/>
    <col min="3491" max="3497" width="11.7109375" style="5" customWidth="1"/>
    <col min="3498" max="3498" width="10.85546875" style="5" customWidth="1"/>
    <col min="3499" max="3499" width="11.7109375" style="5" customWidth="1"/>
    <col min="3500" max="3502" width="22.7109375" style="5" customWidth="1"/>
    <col min="3503" max="3505" width="20.7109375" style="5" customWidth="1"/>
    <col min="3506" max="3693" width="8.85546875" style="5"/>
    <col min="3694" max="3694" width="6.140625" style="5" customWidth="1"/>
    <col min="3695" max="3695" width="20.28515625" style="5" customWidth="1"/>
    <col min="3696" max="3696" width="12.42578125" style="5" customWidth="1"/>
    <col min="3697" max="3697" width="13" style="5" customWidth="1"/>
    <col min="3698" max="3698" width="12.5703125" style="5" customWidth="1"/>
    <col min="3699" max="3712" width="11.7109375" style="5" customWidth="1"/>
    <col min="3713" max="3713" width="12.28515625" style="5" customWidth="1"/>
    <col min="3714" max="3714" width="11.7109375" style="5" customWidth="1"/>
    <col min="3715" max="3715" width="12.85546875" style="5" customWidth="1"/>
    <col min="3716" max="3716" width="11.7109375" style="5" customWidth="1"/>
    <col min="3717" max="3717" width="12.7109375" style="5" customWidth="1"/>
    <col min="3718" max="3718" width="11.7109375" style="5" customWidth="1"/>
    <col min="3719" max="3719" width="13" style="5" customWidth="1"/>
    <col min="3720" max="3731" width="11.7109375" style="5" customWidth="1"/>
    <col min="3732" max="3732" width="12.5703125" style="5" customWidth="1"/>
    <col min="3733" max="3733" width="11.7109375" style="5" customWidth="1"/>
    <col min="3734" max="3734" width="13" style="5" customWidth="1"/>
    <col min="3735" max="3740" width="11.7109375" style="5" customWidth="1"/>
    <col min="3741" max="3741" width="13.7109375" style="5" customWidth="1"/>
    <col min="3742" max="3742" width="13.140625" style="5" customWidth="1"/>
    <col min="3743" max="3746" width="13" style="5" customWidth="1"/>
    <col min="3747" max="3753" width="11.7109375" style="5" customWidth="1"/>
    <col min="3754" max="3754" width="10.85546875" style="5" customWidth="1"/>
    <col min="3755" max="3755" width="11.7109375" style="5" customWidth="1"/>
    <col min="3756" max="3758" width="22.7109375" style="5" customWidth="1"/>
    <col min="3759" max="3761" width="20.7109375" style="5" customWidth="1"/>
    <col min="3762" max="3949" width="8.85546875" style="5"/>
    <col min="3950" max="3950" width="6.140625" style="5" customWidth="1"/>
    <col min="3951" max="3951" width="20.28515625" style="5" customWidth="1"/>
    <col min="3952" max="3952" width="12.42578125" style="5" customWidth="1"/>
    <col min="3953" max="3953" width="13" style="5" customWidth="1"/>
    <col min="3954" max="3954" width="12.5703125" style="5" customWidth="1"/>
    <col min="3955" max="3968" width="11.7109375" style="5" customWidth="1"/>
    <col min="3969" max="3969" width="12.28515625" style="5" customWidth="1"/>
    <col min="3970" max="3970" width="11.7109375" style="5" customWidth="1"/>
    <col min="3971" max="3971" width="12.85546875" style="5" customWidth="1"/>
    <col min="3972" max="3972" width="11.7109375" style="5" customWidth="1"/>
    <col min="3973" max="3973" width="12.7109375" style="5" customWidth="1"/>
    <col min="3974" max="3974" width="11.7109375" style="5" customWidth="1"/>
    <col min="3975" max="3975" width="13" style="5" customWidth="1"/>
    <col min="3976" max="3987" width="11.7109375" style="5" customWidth="1"/>
    <col min="3988" max="3988" width="12.5703125" style="5" customWidth="1"/>
    <col min="3989" max="3989" width="11.7109375" style="5" customWidth="1"/>
    <col min="3990" max="3990" width="13" style="5" customWidth="1"/>
    <col min="3991" max="3996" width="11.7109375" style="5" customWidth="1"/>
    <col min="3997" max="3997" width="13.7109375" style="5" customWidth="1"/>
    <col min="3998" max="3998" width="13.140625" style="5" customWidth="1"/>
    <col min="3999" max="4002" width="13" style="5" customWidth="1"/>
    <col min="4003" max="4009" width="11.7109375" style="5" customWidth="1"/>
    <col min="4010" max="4010" width="10.85546875" style="5" customWidth="1"/>
    <col min="4011" max="4011" width="11.7109375" style="5" customWidth="1"/>
    <col min="4012" max="4014" width="22.7109375" style="5" customWidth="1"/>
    <col min="4015" max="4017" width="20.7109375" style="5" customWidth="1"/>
    <col min="4018" max="4205" width="8.85546875" style="5"/>
    <col min="4206" max="4206" width="6.140625" style="5" customWidth="1"/>
    <col min="4207" max="4207" width="20.28515625" style="5" customWidth="1"/>
    <col min="4208" max="4208" width="12.42578125" style="5" customWidth="1"/>
    <col min="4209" max="4209" width="13" style="5" customWidth="1"/>
    <col min="4210" max="4210" width="12.5703125" style="5" customWidth="1"/>
    <col min="4211" max="4224" width="11.7109375" style="5" customWidth="1"/>
    <col min="4225" max="4225" width="12.28515625" style="5" customWidth="1"/>
    <col min="4226" max="4226" width="11.7109375" style="5" customWidth="1"/>
    <col min="4227" max="4227" width="12.85546875" style="5" customWidth="1"/>
    <col min="4228" max="4228" width="11.7109375" style="5" customWidth="1"/>
    <col min="4229" max="4229" width="12.7109375" style="5" customWidth="1"/>
    <col min="4230" max="4230" width="11.7109375" style="5" customWidth="1"/>
    <col min="4231" max="4231" width="13" style="5" customWidth="1"/>
    <col min="4232" max="4243" width="11.7109375" style="5" customWidth="1"/>
    <col min="4244" max="4244" width="12.5703125" style="5" customWidth="1"/>
    <col min="4245" max="4245" width="11.7109375" style="5" customWidth="1"/>
    <col min="4246" max="4246" width="13" style="5" customWidth="1"/>
    <col min="4247" max="4252" width="11.7109375" style="5" customWidth="1"/>
    <col min="4253" max="4253" width="13.7109375" style="5" customWidth="1"/>
    <col min="4254" max="4254" width="13.140625" style="5" customWidth="1"/>
    <col min="4255" max="4258" width="13" style="5" customWidth="1"/>
    <col min="4259" max="4265" width="11.7109375" style="5" customWidth="1"/>
    <col min="4266" max="4266" width="10.85546875" style="5" customWidth="1"/>
    <col min="4267" max="4267" width="11.7109375" style="5" customWidth="1"/>
    <col min="4268" max="4270" width="22.7109375" style="5" customWidth="1"/>
    <col min="4271" max="4273" width="20.7109375" style="5" customWidth="1"/>
    <col min="4274" max="4461" width="8.85546875" style="5"/>
    <col min="4462" max="4462" width="6.140625" style="5" customWidth="1"/>
    <col min="4463" max="4463" width="20.28515625" style="5" customWidth="1"/>
    <col min="4464" max="4464" width="12.42578125" style="5" customWidth="1"/>
    <col min="4465" max="4465" width="13" style="5" customWidth="1"/>
    <col min="4466" max="4466" width="12.5703125" style="5" customWidth="1"/>
    <col min="4467" max="4480" width="11.7109375" style="5" customWidth="1"/>
    <col min="4481" max="4481" width="12.28515625" style="5" customWidth="1"/>
    <col min="4482" max="4482" width="11.7109375" style="5" customWidth="1"/>
    <col min="4483" max="4483" width="12.85546875" style="5" customWidth="1"/>
    <col min="4484" max="4484" width="11.7109375" style="5" customWidth="1"/>
    <col min="4485" max="4485" width="12.7109375" style="5" customWidth="1"/>
    <col min="4486" max="4486" width="11.7109375" style="5" customWidth="1"/>
    <col min="4487" max="4487" width="13" style="5" customWidth="1"/>
    <col min="4488" max="4499" width="11.7109375" style="5" customWidth="1"/>
    <col min="4500" max="4500" width="12.5703125" style="5" customWidth="1"/>
    <col min="4501" max="4501" width="11.7109375" style="5" customWidth="1"/>
    <col min="4502" max="4502" width="13" style="5" customWidth="1"/>
    <col min="4503" max="4508" width="11.7109375" style="5" customWidth="1"/>
    <col min="4509" max="4509" width="13.7109375" style="5" customWidth="1"/>
    <col min="4510" max="4510" width="13.140625" style="5" customWidth="1"/>
    <col min="4511" max="4514" width="13" style="5" customWidth="1"/>
    <col min="4515" max="4521" width="11.7109375" style="5" customWidth="1"/>
    <col min="4522" max="4522" width="10.85546875" style="5" customWidth="1"/>
    <col min="4523" max="4523" width="11.7109375" style="5" customWidth="1"/>
    <col min="4524" max="4526" width="22.7109375" style="5" customWidth="1"/>
    <col min="4527" max="4529" width="20.7109375" style="5" customWidth="1"/>
    <col min="4530" max="4717" width="8.85546875" style="5"/>
    <col min="4718" max="4718" width="6.140625" style="5" customWidth="1"/>
    <col min="4719" max="4719" width="20.28515625" style="5" customWidth="1"/>
    <col min="4720" max="4720" width="12.42578125" style="5" customWidth="1"/>
    <col min="4721" max="4721" width="13" style="5" customWidth="1"/>
    <col min="4722" max="4722" width="12.5703125" style="5" customWidth="1"/>
    <col min="4723" max="4736" width="11.7109375" style="5" customWidth="1"/>
    <col min="4737" max="4737" width="12.28515625" style="5" customWidth="1"/>
    <col min="4738" max="4738" width="11.7109375" style="5" customWidth="1"/>
    <col min="4739" max="4739" width="12.85546875" style="5" customWidth="1"/>
    <col min="4740" max="4740" width="11.7109375" style="5" customWidth="1"/>
    <col min="4741" max="4741" width="12.7109375" style="5" customWidth="1"/>
    <col min="4742" max="4742" width="11.7109375" style="5" customWidth="1"/>
    <col min="4743" max="4743" width="13" style="5" customWidth="1"/>
    <col min="4744" max="4755" width="11.7109375" style="5" customWidth="1"/>
    <col min="4756" max="4756" width="12.5703125" style="5" customWidth="1"/>
    <col min="4757" max="4757" width="11.7109375" style="5" customWidth="1"/>
    <col min="4758" max="4758" width="13" style="5" customWidth="1"/>
    <col min="4759" max="4764" width="11.7109375" style="5" customWidth="1"/>
    <col min="4765" max="4765" width="13.7109375" style="5" customWidth="1"/>
    <col min="4766" max="4766" width="13.140625" style="5" customWidth="1"/>
    <col min="4767" max="4770" width="13" style="5" customWidth="1"/>
    <col min="4771" max="4777" width="11.7109375" style="5" customWidth="1"/>
    <col min="4778" max="4778" width="10.85546875" style="5" customWidth="1"/>
    <col min="4779" max="4779" width="11.7109375" style="5" customWidth="1"/>
    <col min="4780" max="4782" width="22.7109375" style="5" customWidth="1"/>
    <col min="4783" max="4785" width="20.7109375" style="5" customWidth="1"/>
    <col min="4786" max="4973" width="8.85546875" style="5"/>
    <col min="4974" max="4974" width="6.140625" style="5" customWidth="1"/>
    <col min="4975" max="4975" width="20.28515625" style="5" customWidth="1"/>
    <col min="4976" max="4976" width="12.42578125" style="5" customWidth="1"/>
    <col min="4977" max="4977" width="13" style="5" customWidth="1"/>
    <col min="4978" max="4978" width="12.5703125" style="5" customWidth="1"/>
    <col min="4979" max="4992" width="11.7109375" style="5" customWidth="1"/>
    <col min="4993" max="4993" width="12.28515625" style="5" customWidth="1"/>
    <col min="4994" max="4994" width="11.7109375" style="5" customWidth="1"/>
    <col min="4995" max="4995" width="12.85546875" style="5" customWidth="1"/>
    <col min="4996" max="4996" width="11.7109375" style="5" customWidth="1"/>
    <col min="4997" max="4997" width="12.7109375" style="5" customWidth="1"/>
    <col min="4998" max="4998" width="11.7109375" style="5" customWidth="1"/>
    <col min="4999" max="4999" width="13" style="5" customWidth="1"/>
    <col min="5000" max="5011" width="11.7109375" style="5" customWidth="1"/>
    <col min="5012" max="5012" width="12.5703125" style="5" customWidth="1"/>
    <col min="5013" max="5013" width="11.7109375" style="5" customWidth="1"/>
    <col min="5014" max="5014" width="13" style="5" customWidth="1"/>
    <col min="5015" max="5020" width="11.7109375" style="5" customWidth="1"/>
    <col min="5021" max="5021" width="13.7109375" style="5" customWidth="1"/>
    <col min="5022" max="5022" width="13.140625" style="5" customWidth="1"/>
    <col min="5023" max="5026" width="13" style="5" customWidth="1"/>
    <col min="5027" max="5033" width="11.7109375" style="5" customWidth="1"/>
    <col min="5034" max="5034" width="10.85546875" style="5" customWidth="1"/>
    <col min="5035" max="5035" width="11.7109375" style="5" customWidth="1"/>
    <col min="5036" max="5038" width="22.7109375" style="5" customWidth="1"/>
    <col min="5039" max="5041" width="20.7109375" style="5" customWidth="1"/>
    <col min="5042" max="5229" width="8.85546875" style="5"/>
    <col min="5230" max="5230" width="6.140625" style="5" customWidth="1"/>
    <col min="5231" max="5231" width="20.28515625" style="5" customWidth="1"/>
    <col min="5232" max="5232" width="12.42578125" style="5" customWidth="1"/>
    <col min="5233" max="5233" width="13" style="5" customWidth="1"/>
    <col min="5234" max="5234" width="12.5703125" style="5" customWidth="1"/>
    <col min="5235" max="5248" width="11.7109375" style="5" customWidth="1"/>
    <col min="5249" max="5249" width="12.28515625" style="5" customWidth="1"/>
    <col min="5250" max="5250" width="11.7109375" style="5" customWidth="1"/>
    <col min="5251" max="5251" width="12.85546875" style="5" customWidth="1"/>
    <col min="5252" max="5252" width="11.7109375" style="5" customWidth="1"/>
    <col min="5253" max="5253" width="12.7109375" style="5" customWidth="1"/>
    <col min="5254" max="5254" width="11.7109375" style="5" customWidth="1"/>
    <col min="5255" max="5255" width="13" style="5" customWidth="1"/>
    <col min="5256" max="5267" width="11.7109375" style="5" customWidth="1"/>
    <col min="5268" max="5268" width="12.5703125" style="5" customWidth="1"/>
    <col min="5269" max="5269" width="11.7109375" style="5" customWidth="1"/>
    <col min="5270" max="5270" width="13" style="5" customWidth="1"/>
    <col min="5271" max="5276" width="11.7109375" style="5" customWidth="1"/>
    <col min="5277" max="5277" width="13.7109375" style="5" customWidth="1"/>
    <col min="5278" max="5278" width="13.140625" style="5" customWidth="1"/>
    <col min="5279" max="5282" width="13" style="5" customWidth="1"/>
    <col min="5283" max="5289" width="11.7109375" style="5" customWidth="1"/>
    <col min="5290" max="5290" width="10.85546875" style="5" customWidth="1"/>
    <col min="5291" max="5291" width="11.7109375" style="5" customWidth="1"/>
    <col min="5292" max="5294" width="22.7109375" style="5" customWidth="1"/>
    <col min="5295" max="5297" width="20.7109375" style="5" customWidth="1"/>
    <col min="5298" max="5485" width="8.85546875" style="5"/>
    <col min="5486" max="5486" width="6.140625" style="5" customWidth="1"/>
    <col min="5487" max="5487" width="20.28515625" style="5" customWidth="1"/>
    <col min="5488" max="5488" width="12.42578125" style="5" customWidth="1"/>
    <col min="5489" max="5489" width="13" style="5" customWidth="1"/>
    <col min="5490" max="5490" width="12.5703125" style="5" customWidth="1"/>
    <col min="5491" max="5504" width="11.7109375" style="5" customWidth="1"/>
    <col min="5505" max="5505" width="12.28515625" style="5" customWidth="1"/>
    <col min="5506" max="5506" width="11.7109375" style="5" customWidth="1"/>
    <col min="5507" max="5507" width="12.85546875" style="5" customWidth="1"/>
    <col min="5508" max="5508" width="11.7109375" style="5" customWidth="1"/>
    <col min="5509" max="5509" width="12.7109375" style="5" customWidth="1"/>
    <col min="5510" max="5510" width="11.7109375" style="5" customWidth="1"/>
    <col min="5511" max="5511" width="13" style="5" customWidth="1"/>
    <col min="5512" max="5523" width="11.7109375" style="5" customWidth="1"/>
    <col min="5524" max="5524" width="12.5703125" style="5" customWidth="1"/>
    <col min="5525" max="5525" width="11.7109375" style="5" customWidth="1"/>
    <col min="5526" max="5526" width="13" style="5" customWidth="1"/>
    <col min="5527" max="5532" width="11.7109375" style="5" customWidth="1"/>
    <col min="5533" max="5533" width="13.7109375" style="5" customWidth="1"/>
    <col min="5534" max="5534" width="13.140625" style="5" customWidth="1"/>
    <col min="5535" max="5538" width="13" style="5" customWidth="1"/>
    <col min="5539" max="5545" width="11.7109375" style="5" customWidth="1"/>
    <col min="5546" max="5546" width="10.85546875" style="5" customWidth="1"/>
    <col min="5547" max="5547" width="11.7109375" style="5" customWidth="1"/>
    <col min="5548" max="5550" width="22.7109375" style="5" customWidth="1"/>
    <col min="5551" max="5553" width="20.7109375" style="5" customWidth="1"/>
    <col min="5554" max="5741" width="8.85546875" style="5"/>
    <col min="5742" max="5742" width="6.140625" style="5" customWidth="1"/>
    <col min="5743" max="5743" width="20.28515625" style="5" customWidth="1"/>
    <col min="5744" max="5744" width="12.42578125" style="5" customWidth="1"/>
    <col min="5745" max="5745" width="13" style="5" customWidth="1"/>
    <col min="5746" max="5746" width="12.5703125" style="5" customWidth="1"/>
    <col min="5747" max="5760" width="11.7109375" style="5" customWidth="1"/>
    <col min="5761" max="5761" width="12.28515625" style="5" customWidth="1"/>
    <col min="5762" max="5762" width="11.7109375" style="5" customWidth="1"/>
    <col min="5763" max="5763" width="12.85546875" style="5" customWidth="1"/>
    <col min="5764" max="5764" width="11.7109375" style="5" customWidth="1"/>
    <col min="5765" max="5765" width="12.7109375" style="5" customWidth="1"/>
    <col min="5766" max="5766" width="11.7109375" style="5" customWidth="1"/>
    <col min="5767" max="5767" width="13" style="5" customWidth="1"/>
    <col min="5768" max="5779" width="11.7109375" style="5" customWidth="1"/>
    <col min="5780" max="5780" width="12.5703125" style="5" customWidth="1"/>
    <col min="5781" max="5781" width="11.7109375" style="5" customWidth="1"/>
    <col min="5782" max="5782" width="13" style="5" customWidth="1"/>
    <col min="5783" max="5788" width="11.7109375" style="5" customWidth="1"/>
    <col min="5789" max="5789" width="13.7109375" style="5" customWidth="1"/>
    <col min="5790" max="5790" width="13.140625" style="5" customWidth="1"/>
    <col min="5791" max="5794" width="13" style="5" customWidth="1"/>
    <col min="5795" max="5801" width="11.7109375" style="5" customWidth="1"/>
    <col min="5802" max="5802" width="10.85546875" style="5" customWidth="1"/>
    <col min="5803" max="5803" width="11.7109375" style="5" customWidth="1"/>
    <col min="5804" max="5806" width="22.7109375" style="5" customWidth="1"/>
    <col min="5807" max="5809" width="20.7109375" style="5" customWidth="1"/>
    <col min="5810" max="5997" width="8.85546875" style="5"/>
    <col min="5998" max="5998" width="6.140625" style="5" customWidth="1"/>
    <col min="5999" max="5999" width="20.28515625" style="5" customWidth="1"/>
    <col min="6000" max="6000" width="12.42578125" style="5" customWidth="1"/>
    <col min="6001" max="6001" width="13" style="5" customWidth="1"/>
    <col min="6002" max="6002" width="12.5703125" style="5" customWidth="1"/>
    <col min="6003" max="6016" width="11.7109375" style="5" customWidth="1"/>
    <col min="6017" max="6017" width="12.28515625" style="5" customWidth="1"/>
    <col min="6018" max="6018" width="11.7109375" style="5" customWidth="1"/>
    <col min="6019" max="6019" width="12.85546875" style="5" customWidth="1"/>
    <col min="6020" max="6020" width="11.7109375" style="5" customWidth="1"/>
    <col min="6021" max="6021" width="12.7109375" style="5" customWidth="1"/>
    <col min="6022" max="6022" width="11.7109375" style="5" customWidth="1"/>
    <col min="6023" max="6023" width="13" style="5" customWidth="1"/>
    <col min="6024" max="6035" width="11.7109375" style="5" customWidth="1"/>
    <col min="6036" max="6036" width="12.5703125" style="5" customWidth="1"/>
    <col min="6037" max="6037" width="11.7109375" style="5" customWidth="1"/>
    <col min="6038" max="6038" width="13" style="5" customWidth="1"/>
    <col min="6039" max="6044" width="11.7109375" style="5" customWidth="1"/>
    <col min="6045" max="6045" width="13.7109375" style="5" customWidth="1"/>
    <col min="6046" max="6046" width="13.140625" style="5" customWidth="1"/>
    <col min="6047" max="6050" width="13" style="5" customWidth="1"/>
    <col min="6051" max="6057" width="11.7109375" style="5" customWidth="1"/>
    <col min="6058" max="6058" width="10.85546875" style="5" customWidth="1"/>
    <col min="6059" max="6059" width="11.7109375" style="5" customWidth="1"/>
    <col min="6060" max="6062" width="22.7109375" style="5" customWidth="1"/>
    <col min="6063" max="6065" width="20.7109375" style="5" customWidth="1"/>
    <col min="6066" max="6253" width="8.85546875" style="5"/>
    <col min="6254" max="6254" width="6.140625" style="5" customWidth="1"/>
    <col min="6255" max="6255" width="20.28515625" style="5" customWidth="1"/>
    <col min="6256" max="6256" width="12.42578125" style="5" customWidth="1"/>
    <col min="6257" max="6257" width="13" style="5" customWidth="1"/>
    <col min="6258" max="6258" width="12.5703125" style="5" customWidth="1"/>
    <col min="6259" max="6272" width="11.7109375" style="5" customWidth="1"/>
    <col min="6273" max="6273" width="12.28515625" style="5" customWidth="1"/>
    <col min="6274" max="6274" width="11.7109375" style="5" customWidth="1"/>
    <col min="6275" max="6275" width="12.85546875" style="5" customWidth="1"/>
    <col min="6276" max="6276" width="11.7109375" style="5" customWidth="1"/>
    <col min="6277" max="6277" width="12.7109375" style="5" customWidth="1"/>
    <col min="6278" max="6278" width="11.7109375" style="5" customWidth="1"/>
    <col min="6279" max="6279" width="13" style="5" customWidth="1"/>
    <col min="6280" max="6291" width="11.7109375" style="5" customWidth="1"/>
    <col min="6292" max="6292" width="12.5703125" style="5" customWidth="1"/>
    <col min="6293" max="6293" width="11.7109375" style="5" customWidth="1"/>
    <col min="6294" max="6294" width="13" style="5" customWidth="1"/>
    <col min="6295" max="6300" width="11.7109375" style="5" customWidth="1"/>
    <col min="6301" max="6301" width="13.7109375" style="5" customWidth="1"/>
    <col min="6302" max="6302" width="13.140625" style="5" customWidth="1"/>
    <col min="6303" max="6306" width="13" style="5" customWidth="1"/>
    <col min="6307" max="6313" width="11.7109375" style="5" customWidth="1"/>
    <col min="6314" max="6314" width="10.85546875" style="5" customWidth="1"/>
    <col min="6315" max="6315" width="11.7109375" style="5" customWidth="1"/>
    <col min="6316" max="6318" width="22.7109375" style="5" customWidth="1"/>
    <col min="6319" max="6321" width="20.7109375" style="5" customWidth="1"/>
    <col min="6322" max="6509" width="8.85546875" style="5"/>
    <col min="6510" max="6510" width="6.140625" style="5" customWidth="1"/>
    <col min="6511" max="6511" width="20.28515625" style="5" customWidth="1"/>
    <col min="6512" max="6512" width="12.42578125" style="5" customWidth="1"/>
    <col min="6513" max="6513" width="13" style="5" customWidth="1"/>
    <col min="6514" max="6514" width="12.5703125" style="5" customWidth="1"/>
    <col min="6515" max="6528" width="11.7109375" style="5" customWidth="1"/>
    <col min="6529" max="6529" width="12.28515625" style="5" customWidth="1"/>
    <col min="6530" max="6530" width="11.7109375" style="5" customWidth="1"/>
    <col min="6531" max="6531" width="12.85546875" style="5" customWidth="1"/>
    <col min="6532" max="6532" width="11.7109375" style="5" customWidth="1"/>
    <col min="6533" max="6533" width="12.7109375" style="5" customWidth="1"/>
    <col min="6534" max="6534" width="11.7109375" style="5" customWidth="1"/>
    <col min="6535" max="6535" width="13" style="5" customWidth="1"/>
    <col min="6536" max="6547" width="11.7109375" style="5" customWidth="1"/>
    <col min="6548" max="6548" width="12.5703125" style="5" customWidth="1"/>
    <col min="6549" max="6549" width="11.7109375" style="5" customWidth="1"/>
    <col min="6550" max="6550" width="13" style="5" customWidth="1"/>
    <col min="6551" max="6556" width="11.7109375" style="5" customWidth="1"/>
    <col min="6557" max="6557" width="13.7109375" style="5" customWidth="1"/>
    <col min="6558" max="6558" width="13.140625" style="5" customWidth="1"/>
    <col min="6559" max="6562" width="13" style="5" customWidth="1"/>
    <col min="6563" max="6569" width="11.7109375" style="5" customWidth="1"/>
    <col min="6570" max="6570" width="10.85546875" style="5" customWidth="1"/>
    <col min="6571" max="6571" width="11.7109375" style="5" customWidth="1"/>
    <col min="6572" max="6574" width="22.7109375" style="5" customWidth="1"/>
    <col min="6575" max="6577" width="20.7109375" style="5" customWidth="1"/>
    <col min="6578" max="6765" width="8.85546875" style="5"/>
    <col min="6766" max="6766" width="6.140625" style="5" customWidth="1"/>
    <col min="6767" max="6767" width="20.28515625" style="5" customWidth="1"/>
    <col min="6768" max="6768" width="12.42578125" style="5" customWidth="1"/>
    <col min="6769" max="6769" width="13" style="5" customWidth="1"/>
    <col min="6770" max="6770" width="12.5703125" style="5" customWidth="1"/>
    <col min="6771" max="6784" width="11.7109375" style="5" customWidth="1"/>
    <col min="6785" max="6785" width="12.28515625" style="5" customWidth="1"/>
    <col min="6786" max="6786" width="11.7109375" style="5" customWidth="1"/>
    <col min="6787" max="6787" width="12.85546875" style="5" customWidth="1"/>
    <col min="6788" max="6788" width="11.7109375" style="5" customWidth="1"/>
    <col min="6789" max="6789" width="12.7109375" style="5" customWidth="1"/>
    <col min="6790" max="6790" width="11.7109375" style="5" customWidth="1"/>
    <col min="6791" max="6791" width="13" style="5" customWidth="1"/>
    <col min="6792" max="6803" width="11.7109375" style="5" customWidth="1"/>
    <col min="6804" max="6804" width="12.5703125" style="5" customWidth="1"/>
    <col min="6805" max="6805" width="11.7109375" style="5" customWidth="1"/>
    <col min="6806" max="6806" width="13" style="5" customWidth="1"/>
    <col min="6807" max="6812" width="11.7109375" style="5" customWidth="1"/>
    <col min="6813" max="6813" width="13.7109375" style="5" customWidth="1"/>
    <col min="6814" max="6814" width="13.140625" style="5" customWidth="1"/>
    <col min="6815" max="6818" width="13" style="5" customWidth="1"/>
    <col min="6819" max="6825" width="11.7109375" style="5" customWidth="1"/>
    <col min="6826" max="6826" width="10.85546875" style="5" customWidth="1"/>
    <col min="6827" max="6827" width="11.7109375" style="5" customWidth="1"/>
    <col min="6828" max="6830" width="22.7109375" style="5" customWidth="1"/>
    <col min="6831" max="6833" width="20.7109375" style="5" customWidth="1"/>
    <col min="6834" max="7021" width="8.85546875" style="5"/>
    <col min="7022" max="7022" width="6.140625" style="5" customWidth="1"/>
    <col min="7023" max="7023" width="20.28515625" style="5" customWidth="1"/>
    <col min="7024" max="7024" width="12.42578125" style="5" customWidth="1"/>
    <col min="7025" max="7025" width="13" style="5" customWidth="1"/>
    <col min="7026" max="7026" width="12.5703125" style="5" customWidth="1"/>
    <col min="7027" max="7040" width="11.7109375" style="5" customWidth="1"/>
    <col min="7041" max="7041" width="12.28515625" style="5" customWidth="1"/>
    <col min="7042" max="7042" width="11.7109375" style="5" customWidth="1"/>
    <col min="7043" max="7043" width="12.85546875" style="5" customWidth="1"/>
    <col min="7044" max="7044" width="11.7109375" style="5" customWidth="1"/>
    <col min="7045" max="7045" width="12.7109375" style="5" customWidth="1"/>
    <col min="7046" max="7046" width="11.7109375" style="5" customWidth="1"/>
    <col min="7047" max="7047" width="13" style="5" customWidth="1"/>
    <col min="7048" max="7059" width="11.7109375" style="5" customWidth="1"/>
    <col min="7060" max="7060" width="12.5703125" style="5" customWidth="1"/>
    <col min="7061" max="7061" width="11.7109375" style="5" customWidth="1"/>
    <col min="7062" max="7062" width="13" style="5" customWidth="1"/>
    <col min="7063" max="7068" width="11.7109375" style="5" customWidth="1"/>
    <col min="7069" max="7069" width="13.7109375" style="5" customWidth="1"/>
    <col min="7070" max="7070" width="13.140625" style="5" customWidth="1"/>
    <col min="7071" max="7074" width="13" style="5" customWidth="1"/>
    <col min="7075" max="7081" width="11.7109375" style="5" customWidth="1"/>
    <col min="7082" max="7082" width="10.85546875" style="5" customWidth="1"/>
    <col min="7083" max="7083" width="11.7109375" style="5" customWidth="1"/>
    <col min="7084" max="7086" width="22.7109375" style="5" customWidth="1"/>
    <col min="7087" max="7089" width="20.7109375" style="5" customWidth="1"/>
    <col min="7090" max="7277" width="8.85546875" style="5"/>
    <col min="7278" max="7278" width="6.140625" style="5" customWidth="1"/>
    <col min="7279" max="7279" width="20.28515625" style="5" customWidth="1"/>
    <col min="7280" max="7280" width="12.42578125" style="5" customWidth="1"/>
    <col min="7281" max="7281" width="13" style="5" customWidth="1"/>
    <col min="7282" max="7282" width="12.5703125" style="5" customWidth="1"/>
    <col min="7283" max="7296" width="11.7109375" style="5" customWidth="1"/>
    <col min="7297" max="7297" width="12.28515625" style="5" customWidth="1"/>
    <col min="7298" max="7298" width="11.7109375" style="5" customWidth="1"/>
    <col min="7299" max="7299" width="12.85546875" style="5" customWidth="1"/>
    <col min="7300" max="7300" width="11.7109375" style="5" customWidth="1"/>
    <col min="7301" max="7301" width="12.7109375" style="5" customWidth="1"/>
    <col min="7302" max="7302" width="11.7109375" style="5" customWidth="1"/>
    <col min="7303" max="7303" width="13" style="5" customWidth="1"/>
    <col min="7304" max="7315" width="11.7109375" style="5" customWidth="1"/>
    <col min="7316" max="7316" width="12.5703125" style="5" customWidth="1"/>
    <col min="7317" max="7317" width="11.7109375" style="5" customWidth="1"/>
    <col min="7318" max="7318" width="13" style="5" customWidth="1"/>
    <col min="7319" max="7324" width="11.7109375" style="5" customWidth="1"/>
    <col min="7325" max="7325" width="13.7109375" style="5" customWidth="1"/>
    <col min="7326" max="7326" width="13.140625" style="5" customWidth="1"/>
    <col min="7327" max="7330" width="13" style="5" customWidth="1"/>
    <col min="7331" max="7337" width="11.7109375" style="5" customWidth="1"/>
    <col min="7338" max="7338" width="10.85546875" style="5" customWidth="1"/>
    <col min="7339" max="7339" width="11.7109375" style="5" customWidth="1"/>
    <col min="7340" max="7342" width="22.7109375" style="5" customWidth="1"/>
    <col min="7343" max="7345" width="20.7109375" style="5" customWidth="1"/>
    <col min="7346" max="7533" width="8.85546875" style="5"/>
    <col min="7534" max="7534" width="6.140625" style="5" customWidth="1"/>
    <col min="7535" max="7535" width="20.28515625" style="5" customWidth="1"/>
    <col min="7536" max="7536" width="12.42578125" style="5" customWidth="1"/>
    <col min="7537" max="7537" width="13" style="5" customWidth="1"/>
    <col min="7538" max="7538" width="12.5703125" style="5" customWidth="1"/>
    <col min="7539" max="7552" width="11.7109375" style="5" customWidth="1"/>
    <col min="7553" max="7553" width="12.28515625" style="5" customWidth="1"/>
    <col min="7554" max="7554" width="11.7109375" style="5" customWidth="1"/>
    <col min="7555" max="7555" width="12.85546875" style="5" customWidth="1"/>
    <col min="7556" max="7556" width="11.7109375" style="5" customWidth="1"/>
    <col min="7557" max="7557" width="12.7109375" style="5" customWidth="1"/>
    <col min="7558" max="7558" width="11.7109375" style="5" customWidth="1"/>
    <col min="7559" max="7559" width="13" style="5" customWidth="1"/>
    <col min="7560" max="7571" width="11.7109375" style="5" customWidth="1"/>
    <col min="7572" max="7572" width="12.5703125" style="5" customWidth="1"/>
    <col min="7573" max="7573" width="11.7109375" style="5" customWidth="1"/>
    <col min="7574" max="7574" width="13" style="5" customWidth="1"/>
    <col min="7575" max="7580" width="11.7109375" style="5" customWidth="1"/>
    <col min="7581" max="7581" width="13.7109375" style="5" customWidth="1"/>
    <col min="7582" max="7582" width="13.140625" style="5" customWidth="1"/>
    <col min="7583" max="7586" width="13" style="5" customWidth="1"/>
    <col min="7587" max="7593" width="11.7109375" style="5" customWidth="1"/>
    <col min="7594" max="7594" width="10.85546875" style="5" customWidth="1"/>
    <col min="7595" max="7595" width="11.7109375" style="5" customWidth="1"/>
    <col min="7596" max="7598" width="22.7109375" style="5" customWidth="1"/>
    <col min="7599" max="7601" width="20.7109375" style="5" customWidth="1"/>
    <col min="7602" max="7789" width="8.85546875" style="5"/>
    <col min="7790" max="7790" width="6.140625" style="5" customWidth="1"/>
    <col min="7791" max="7791" width="20.28515625" style="5" customWidth="1"/>
    <col min="7792" max="7792" width="12.42578125" style="5" customWidth="1"/>
    <col min="7793" max="7793" width="13" style="5" customWidth="1"/>
    <col min="7794" max="7794" width="12.5703125" style="5" customWidth="1"/>
    <col min="7795" max="7808" width="11.7109375" style="5" customWidth="1"/>
    <col min="7809" max="7809" width="12.28515625" style="5" customWidth="1"/>
    <col min="7810" max="7810" width="11.7109375" style="5" customWidth="1"/>
    <col min="7811" max="7811" width="12.85546875" style="5" customWidth="1"/>
    <col min="7812" max="7812" width="11.7109375" style="5" customWidth="1"/>
    <col min="7813" max="7813" width="12.7109375" style="5" customWidth="1"/>
    <col min="7814" max="7814" width="11.7109375" style="5" customWidth="1"/>
    <col min="7815" max="7815" width="13" style="5" customWidth="1"/>
    <col min="7816" max="7827" width="11.7109375" style="5" customWidth="1"/>
    <col min="7828" max="7828" width="12.5703125" style="5" customWidth="1"/>
    <col min="7829" max="7829" width="11.7109375" style="5" customWidth="1"/>
    <col min="7830" max="7830" width="13" style="5" customWidth="1"/>
    <col min="7831" max="7836" width="11.7109375" style="5" customWidth="1"/>
    <col min="7837" max="7837" width="13.7109375" style="5" customWidth="1"/>
    <col min="7838" max="7838" width="13.140625" style="5" customWidth="1"/>
    <col min="7839" max="7842" width="13" style="5" customWidth="1"/>
    <col min="7843" max="7849" width="11.7109375" style="5" customWidth="1"/>
    <col min="7850" max="7850" width="10.85546875" style="5" customWidth="1"/>
    <col min="7851" max="7851" width="11.7109375" style="5" customWidth="1"/>
    <col min="7852" max="7854" width="22.7109375" style="5" customWidth="1"/>
    <col min="7855" max="7857" width="20.7109375" style="5" customWidth="1"/>
    <col min="7858" max="8045" width="8.85546875" style="5"/>
    <col min="8046" max="8046" width="6.140625" style="5" customWidth="1"/>
    <col min="8047" max="8047" width="20.28515625" style="5" customWidth="1"/>
    <col min="8048" max="8048" width="12.42578125" style="5" customWidth="1"/>
    <col min="8049" max="8049" width="13" style="5" customWidth="1"/>
    <col min="8050" max="8050" width="12.5703125" style="5" customWidth="1"/>
    <col min="8051" max="8064" width="11.7109375" style="5" customWidth="1"/>
    <col min="8065" max="8065" width="12.28515625" style="5" customWidth="1"/>
    <col min="8066" max="8066" width="11.7109375" style="5" customWidth="1"/>
    <col min="8067" max="8067" width="12.85546875" style="5" customWidth="1"/>
    <col min="8068" max="8068" width="11.7109375" style="5" customWidth="1"/>
    <col min="8069" max="8069" width="12.7109375" style="5" customWidth="1"/>
    <col min="8070" max="8070" width="11.7109375" style="5" customWidth="1"/>
    <col min="8071" max="8071" width="13" style="5" customWidth="1"/>
    <col min="8072" max="8083" width="11.7109375" style="5" customWidth="1"/>
    <col min="8084" max="8084" width="12.5703125" style="5" customWidth="1"/>
    <col min="8085" max="8085" width="11.7109375" style="5" customWidth="1"/>
    <col min="8086" max="8086" width="13" style="5" customWidth="1"/>
    <col min="8087" max="8092" width="11.7109375" style="5" customWidth="1"/>
    <col min="8093" max="8093" width="13.7109375" style="5" customWidth="1"/>
    <col min="8094" max="8094" width="13.140625" style="5" customWidth="1"/>
    <col min="8095" max="8098" width="13" style="5" customWidth="1"/>
    <col min="8099" max="8105" width="11.7109375" style="5" customWidth="1"/>
    <col min="8106" max="8106" width="10.85546875" style="5" customWidth="1"/>
    <col min="8107" max="8107" width="11.7109375" style="5" customWidth="1"/>
    <col min="8108" max="8110" width="22.7109375" style="5" customWidth="1"/>
    <col min="8111" max="8113" width="20.7109375" style="5" customWidth="1"/>
    <col min="8114" max="8301" width="8.85546875" style="5"/>
    <col min="8302" max="8302" width="6.140625" style="5" customWidth="1"/>
    <col min="8303" max="8303" width="20.28515625" style="5" customWidth="1"/>
    <col min="8304" max="8304" width="12.42578125" style="5" customWidth="1"/>
    <col min="8305" max="8305" width="13" style="5" customWidth="1"/>
    <col min="8306" max="8306" width="12.5703125" style="5" customWidth="1"/>
    <col min="8307" max="8320" width="11.7109375" style="5" customWidth="1"/>
    <col min="8321" max="8321" width="12.28515625" style="5" customWidth="1"/>
    <col min="8322" max="8322" width="11.7109375" style="5" customWidth="1"/>
    <col min="8323" max="8323" width="12.85546875" style="5" customWidth="1"/>
    <col min="8324" max="8324" width="11.7109375" style="5" customWidth="1"/>
    <col min="8325" max="8325" width="12.7109375" style="5" customWidth="1"/>
    <col min="8326" max="8326" width="11.7109375" style="5" customWidth="1"/>
    <col min="8327" max="8327" width="13" style="5" customWidth="1"/>
    <col min="8328" max="8339" width="11.7109375" style="5" customWidth="1"/>
    <col min="8340" max="8340" width="12.5703125" style="5" customWidth="1"/>
    <col min="8341" max="8341" width="11.7109375" style="5" customWidth="1"/>
    <col min="8342" max="8342" width="13" style="5" customWidth="1"/>
    <col min="8343" max="8348" width="11.7109375" style="5" customWidth="1"/>
    <col min="8349" max="8349" width="13.7109375" style="5" customWidth="1"/>
    <col min="8350" max="8350" width="13.140625" style="5" customWidth="1"/>
    <col min="8351" max="8354" width="13" style="5" customWidth="1"/>
    <col min="8355" max="8361" width="11.7109375" style="5" customWidth="1"/>
    <col min="8362" max="8362" width="10.85546875" style="5" customWidth="1"/>
    <col min="8363" max="8363" width="11.7109375" style="5" customWidth="1"/>
    <col min="8364" max="8366" width="22.7109375" style="5" customWidth="1"/>
    <col min="8367" max="8369" width="20.7109375" style="5" customWidth="1"/>
    <col min="8370" max="8557" width="8.85546875" style="5"/>
    <col min="8558" max="8558" width="6.140625" style="5" customWidth="1"/>
    <col min="8559" max="8559" width="20.28515625" style="5" customWidth="1"/>
    <col min="8560" max="8560" width="12.42578125" style="5" customWidth="1"/>
    <col min="8561" max="8561" width="13" style="5" customWidth="1"/>
    <col min="8562" max="8562" width="12.5703125" style="5" customWidth="1"/>
    <col min="8563" max="8576" width="11.7109375" style="5" customWidth="1"/>
    <col min="8577" max="8577" width="12.28515625" style="5" customWidth="1"/>
    <col min="8578" max="8578" width="11.7109375" style="5" customWidth="1"/>
    <col min="8579" max="8579" width="12.85546875" style="5" customWidth="1"/>
    <col min="8580" max="8580" width="11.7109375" style="5" customWidth="1"/>
    <col min="8581" max="8581" width="12.7109375" style="5" customWidth="1"/>
    <col min="8582" max="8582" width="11.7109375" style="5" customWidth="1"/>
    <col min="8583" max="8583" width="13" style="5" customWidth="1"/>
    <col min="8584" max="8595" width="11.7109375" style="5" customWidth="1"/>
    <col min="8596" max="8596" width="12.5703125" style="5" customWidth="1"/>
    <col min="8597" max="8597" width="11.7109375" style="5" customWidth="1"/>
    <col min="8598" max="8598" width="13" style="5" customWidth="1"/>
    <col min="8599" max="8604" width="11.7109375" style="5" customWidth="1"/>
    <col min="8605" max="8605" width="13.7109375" style="5" customWidth="1"/>
    <col min="8606" max="8606" width="13.140625" style="5" customWidth="1"/>
    <col min="8607" max="8610" width="13" style="5" customWidth="1"/>
    <col min="8611" max="8617" width="11.7109375" style="5" customWidth="1"/>
    <col min="8618" max="8618" width="10.85546875" style="5" customWidth="1"/>
    <col min="8619" max="8619" width="11.7109375" style="5" customWidth="1"/>
    <col min="8620" max="8622" width="22.7109375" style="5" customWidth="1"/>
    <col min="8623" max="8625" width="20.7109375" style="5" customWidth="1"/>
    <col min="8626" max="8813" width="8.85546875" style="5"/>
    <col min="8814" max="8814" width="6.140625" style="5" customWidth="1"/>
    <col min="8815" max="8815" width="20.28515625" style="5" customWidth="1"/>
    <col min="8816" max="8816" width="12.42578125" style="5" customWidth="1"/>
    <col min="8817" max="8817" width="13" style="5" customWidth="1"/>
    <col min="8818" max="8818" width="12.5703125" style="5" customWidth="1"/>
    <col min="8819" max="8832" width="11.7109375" style="5" customWidth="1"/>
    <col min="8833" max="8833" width="12.28515625" style="5" customWidth="1"/>
    <col min="8834" max="8834" width="11.7109375" style="5" customWidth="1"/>
    <col min="8835" max="8835" width="12.85546875" style="5" customWidth="1"/>
    <col min="8836" max="8836" width="11.7109375" style="5" customWidth="1"/>
    <col min="8837" max="8837" width="12.7109375" style="5" customWidth="1"/>
    <col min="8838" max="8838" width="11.7109375" style="5" customWidth="1"/>
    <col min="8839" max="8839" width="13" style="5" customWidth="1"/>
    <col min="8840" max="8851" width="11.7109375" style="5" customWidth="1"/>
    <col min="8852" max="8852" width="12.5703125" style="5" customWidth="1"/>
    <col min="8853" max="8853" width="11.7109375" style="5" customWidth="1"/>
    <col min="8854" max="8854" width="13" style="5" customWidth="1"/>
    <col min="8855" max="8860" width="11.7109375" style="5" customWidth="1"/>
    <col min="8861" max="8861" width="13.7109375" style="5" customWidth="1"/>
    <col min="8862" max="8862" width="13.140625" style="5" customWidth="1"/>
    <col min="8863" max="8866" width="13" style="5" customWidth="1"/>
    <col min="8867" max="8873" width="11.7109375" style="5" customWidth="1"/>
    <col min="8874" max="8874" width="10.85546875" style="5" customWidth="1"/>
    <col min="8875" max="8875" width="11.7109375" style="5" customWidth="1"/>
    <col min="8876" max="8878" width="22.7109375" style="5" customWidth="1"/>
    <col min="8879" max="8881" width="20.7109375" style="5" customWidth="1"/>
    <col min="8882" max="9069" width="8.85546875" style="5"/>
    <col min="9070" max="9070" width="6.140625" style="5" customWidth="1"/>
    <col min="9071" max="9071" width="20.28515625" style="5" customWidth="1"/>
    <col min="9072" max="9072" width="12.42578125" style="5" customWidth="1"/>
    <col min="9073" max="9073" width="13" style="5" customWidth="1"/>
    <col min="9074" max="9074" width="12.5703125" style="5" customWidth="1"/>
    <col min="9075" max="9088" width="11.7109375" style="5" customWidth="1"/>
    <col min="9089" max="9089" width="12.28515625" style="5" customWidth="1"/>
    <col min="9090" max="9090" width="11.7109375" style="5" customWidth="1"/>
    <col min="9091" max="9091" width="12.85546875" style="5" customWidth="1"/>
    <col min="9092" max="9092" width="11.7109375" style="5" customWidth="1"/>
    <col min="9093" max="9093" width="12.7109375" style="5" customWidth="1"/>
    <col min="9094" max="9094" width="11.7109375" style="5" customWidth="1"/>
    <col min="9095" max="9095" width="13" style="5" customWidth="1"/>
    <col min="9096" max="9107" width="11.7109375" style="5" customWidth="1"/>
    <col min="9108" max="9108" width="12.5703125" style="5" customWidth="1"/>
    <col min="9109" max="9109" width="11.7109375" style="5" customWidth="1"/>
    <col min="9110" max="9110" width="13" style="5" customWidth="1"/>
    <col min="9111" max="9116" width="11.7109375" style="5" customWidth="1"/>
    <col min="9117" max="9117" width="13.7109375" style="5" customWidth="1"/>
    <col min="9118" max="9118" width="13.140625" style="5" customWidth="1"/>
    <col min="9119" max="9122" width="13" style="5" customWidth="1"/>
    <col min="9123" max="9129" width="11.7109375" style="5" customWidth="1"/>
    <col min="9130" max="9130" width="10.85546875" style="5" customWidth="1"/>
    <col min="9131" max="9131" width="11.7109375" style="5" customWidth="1"/>
    <col min="9132" max="9134" width="22.7109375" style="5" customWidth="1"/>
    <col min="9135" max="9137" width="20.7109375" style="5" customWidth="1"/>
    <col min="9138" max="9325" width="8.85546875" style="5"/>
    <col min="9326" max="9326" width="6.140625" style="5" customWidth="1"/>
    <col min="9327" max="9327" width="20.28515625" style="5" customWidth="1"/>
    <col min="9328" max="9328" width="12.42578125" style="5" customWidth="1"/>
    <col min="9329" max="9329" width="13" style="5" customWidth="1"/>
    <col min="9330" max="9330" width="12.5703125" style="5" customWidth="1"/>
    <col min="9331" max="9344" width="11.7109375" style="5" customWidth="1"/>
    <col min="9345" max="9345" width="12.28515625" style="5" customWidth="1"/>
    <col min="9346" max="9346" width="11.7109375" style="5" customWidth="1"/>
    <col min="9347" max="9347" width="12.85546875" style="5" customWidth="1"/>
    <col min="9348" max="9348" width="11.7109375" style="5" customWidth="1"/>
    <col min="9349" max="9349" width="12.7109375" style="5" customWidth="1"/>
    <col min="9350" max="9350" width="11.7109375" style="5" customWidth="1"/>
    <col min="9351" max="9351" width="13" style="5" customWidth="1"/>
    <col min="9352" max="9363" width="11.7109375" style="5" customWidth="1"/>
    <col min="9364" max="9364" width="12.5703125" style="5" customWidth="1"/>
    <col min="9365" max="9365" width="11.7109375" style="5" customWidth="1"/>
    <col min="9366" max="9366" width="13" style="5" customWidth="1"/>
    <col min="9367" max="9372" width="11.7109375" style="5" customWidth="1"/>
    <col min="9373" max="9373" width="13.7109375" style="5" customWidth="1"/>
    <col min="9374" max="9374" width="13.140625" style="5" customWidth="1"/>
    <col min="9375" max="9378" width="13" style="5" customWidth="1"/>
    <col min="9379" max="9385" width="11.7109375" style="5" customWidth="1"/>
    <col min="9386" max="9386" width="10.85546875" style="5" customWidth="1"/>
    <col min="9387" max="9387" width="11.7109375" style="5" customWidth="1"/>
    <col min="9388" max="9390" width="22.7109375" style="5" customWidth="1"/>
    <col min="9391" max="9393" width="20.7109375" style="5" customWidth="1"/>
    <col min="9394" max="9581" width="8.85546875" style="5"/>
    <col min="9582" max="9582" width="6.140625" style="5" customWidth="1"/>
    <col min="9583" max="9583" width="20.28515625" style="5" customWidth="1"/>
    <col min="9584" max="9584" width="12.42578125" style="5" customWidth="1"/>
    <col min="9585" max="9585" width="13" style="5" customWidth="1"/>
    <col min="9586" max="9586" width="12.5703125" style="5" customWidth="1"/>
    <col min="9587" max="9600" width="11.7109375" style="5" customWidth="1"/>
    <col min="9601" max="9601" width="12.28515625" style="5" customWidth="1"/>
    <col min="9602" max="9602" width="11.7109375" style="5" customWidth="1"/>
    <col min="9603" max="9603" width="12.85546875" style="5" customWidth="1"/>
    <col min="9604" max="9604" width="11.7109375" style="5" customWidth="1"/>
    <col min="9605" max="9605" width="12.7109375" style="5" customWidth="1"/>
    <col min="9606" max="9606" width="11.7109375" style="5" customWidth="1"/>
    <col min="9607" max="9607" width="13" style="5" customWidth="1"/>
    <col min="9608" max="9619" width="11.7109375" style="5" customWidth="1"/>
    <col min="9620" max="9620" width="12.5703125" style="5" customWidth="1"/>
    <col min="9621" max="9621" width="11.7109375" style="5" customWidth="1"/>
    <col min="9622" max="9622" width="13" style="5" customWidth="1"/>
    <col min="9623" max="9628" width="11.7109375" style="5" customWidth="1"/>
    <col min="9629" max="9629" width="13.7109375" style="5" customWidth="1"/>
    <col min="9630" max="9630" width="13.140625" style="5" customWidth="1"/>
    <col min="9631" max="9634" width="13" style="5" customWidth="1"/>
    <col min="9635" max="9641" width="11.7109375" style="5" customWidth="1"/>
    <col min="9642" max="9642" width="10.85546875" style="5" customWidth="1"/>
    <col min="9643" max="9643" width="11.7109375" style="5" customWidth="1"/>
    <col min="9644" max="9646" width="22.7109375" style="5" customWidth="1"/>
    <col min="9647" max="9649" width="20.7109375" style="5" customWidth="1"/>
    <col min="9650" max="9837" width="8.85546875" style="5"/>
    <col min="9838" max="9838" width="6.140625" style="5" customWidth="1"/>
    <col min="9839" max="9839" width="20.28515625" style="5" customWidth="1"/>
    <col min="9840" max="9840" width="12.42578125" style="5" customWidth="1"/>
    <col min="9841" max="9841" width="13" style="5" customWidth="1"/>
    <col min="9842" max="9842" width="12.5703125" style="5" customWidth="1"/>
    <col min="9843" max="9856" width="11.7109375" style="5" customWidth="1"/>
    <col min="9857" max="9857" width="12.28515625" style="5" customWidth="1"/>
    <col min="9858" max="9858" width="11.7109375" style="5" customWidth="1"/>
    <col min="9859" max="9859" width="12.85546875" style="5" customWidth="1"/>
    <col min="9860" max="9860" width="11.7109375" style="5" customWidth="1"/>
    <col min="9861" max="9861" width="12.7109375" style="5" customWidth="1"/>
    <col min="9862" max="9862" width="11.7109375" style="5" customWidth="1"/>
    <col min="9863" max="9863" width="13" style="5" customWidth="1"/>
    <col min="9864" max="9875" width="11.7109375" style="5" customWidth="1"/>
    <col min="9876" max="9876" width="12.5703125" style="5" customWidth="1"/>
    <col min="9877" max="9877" width="11.7109375" style="5" customWidth="1"/>
    <col min="9878" max="9878" width="13" style="5" customWidth="1"/>
    <col min="9879" max="9884" width="11.7109375" style="5" customWidth="1"/>
    <col min="9885" max="9885" width="13.7109375" style="5" customWidth="1"/>
    <col min="9886" max="9886" width="13.140625" style="5" customWidth="1"/>
    <col min="9887" max="9890" width="13" style="5" customWidth="1"/>
    <col min="9891" max="9897" width="11.7109375" style="5" customWidth="1"/>
    <col min="9898" max="9898" width="10.85546875" style="5" customWidth="1"/>
    <col min="9899" max="9899" width="11.7109375" style="5" customWidth="1"/>
    <col min="9900" max="9902" width="22.7109375" style="5" customWidth="1"/>
    <col min="9903" max="9905" width="20.7109375" style="5" customWidth="1"/>
    <col min="9906" max="10093" width="8.85546875" style="5"/>
    <col min="10094" max="10094" width="6.140625" style="5" customWidth="1"/>
    <col min="10095" max="10095" width="20.28515625" style="5" customWidth="1"/>
    <col min="10096" max="10096" width="12.42578125" style="5" customWidth="1"/>
    <col min="10097" max="10097" width="13" style="5" customWidth="1"/>
    <col min="10098" max="10098" width="12.5703125" style="5" customWidth="1"/>
    <col min="10099" max="10112" width="11.7109375" style="5" customWidth="1"/>
    <col min="10113" max="10113" width="12.28515625" style="5" customWidth="1"/>
    <col min="10114" max="10114" width="11.7109375" style="5" customWidth="1"/>
    <col min="10115" max="10115" width="12.85546875" style="5" customWidth="1"/>
    <col min="10116" max="10116" width="11.7109375" style="5" customWidth="1"/>
    <col min="10117" max="10117" width="12.7109375" style="5" customWidth="1"/>
    <col min="10118" max="10118" width="11.7109375" style="5" customWidth="1"/>
    <col min="10119" max="10119" width="13" style="5" customWidth="1"/>
    <col min="10120" max="10131" width="11.7109375" style="5" customWidth="1"/>
    <col min="10132" max="10132" width="12.5703125" style="5" customWidth="1"/>
    <col min="10133" max="10133" width="11.7109375" style="5" customWidth="1"/>
    <col min="10134" max="10134" width="13" style="5" customWidth="1"/>
    <col min="10135" max="10140" width="11.7109375" style="5" customWidth="1"/>
    <col min="10141" max="10141" width="13.7109375" style="5" customWidth="1"/>
    <col min="10142" max="10142" width="13.140625" style="5" customWidth="1"/>
    <col min="10143" max="10146" width="13" style="5" customWidth="1"/>
    <col min="10147" max="10153" width="11.7109375" style="5" customWidth="1"/>
    <col min="10154" max="10154" width="10.85546875" style="5" customWidth="1"/>
    <col min="10155" max="10155" width="11.7109375" style="5" customWidth="1"/>
    <col min="10156" max="10158" width="22.7109375" style="5" customWidth="1"/>
    <col min="10159" max="10161" width="20.7109375" style="5" customWidth="1"/>
    <col min="10162" max="10349" width="8.85546875" style="5"/>
    <col min="10350" max="10350" width="6.140625" style="5" customWidth="1"/>
    <col min="10351" max="10351" width="20.28515625" style="5" customWidth="1"/>
    <col min="10352" max="10352" width="12.42578125" style="5" customWidth="1"/>
    <col min="10353" max="10353" width="13" style="5" customWidth="1"/>
    <col min="10354" max="10354" width="12.5703125" style="5" customWidth="1"/>
    <col min="10355" max="10368" width="11.7109375" style="5" customWidth="1"/>
    <col min="10369" max="10369" width="12.28515625" style="5" customWidth="1"/>
    <col min="10370" max="10370" width="11.7109375" style="5" customWidth="1"/>
    <col min="10371" max="10371" width="12.85546875" style="5" customWidth="1"/>
    <col min="10372" max="10372" width="11.7109375" style="5" customWidth="1"/>
    <col min="10373" max="10373" width="12.7109375" style="5" customWidth="1"/>
    <col min="10374" max="10374" width="11.7109375" style="5" customWidth="1"/>
    <col min="10375" max="10375" width="13" style="5" customWidth="1"/>
    <col min="10376" max="10387" width="11.7109375" style="5" customWidth="1"/>
    <col min="10388" max="10388" width="12.5703125" style="5" customWidth="1"/>
    <col min="10389" max="10389" width="11.7109375" style="5" customWidth="1"/>
    <col min="10390" max="10390" width="13" style="5" customWidth="1"/>
    <col min="10391" max="10396" width="11.7109375" style="5" customWidth="1"/>
    <col min="10397" max="10397" width="13.7109375" style="5" customWidth="1"/>
    <col min="10398" max="10398" width="13.140625" style="5" customWidth="1"/>
    <col min="10399" max="10402" width="13" style="5" customWidth="1"/>
    <col min="10403" max="10409" width="11.7109375" style="5" customWidth="1"/>
    <col min="10410" max="10410" width="10.85546875" style="5" customWidth="1"/>
    <col min="10411" max="10411" width="11.7109375" style="5" customWidth="1"/>
    <col min="10412" max="10414" width="22.7109375" style="5" customWidth="1"/>
    <col min="10415" max="10417" width="20.7109375" style="5" customWidth="1"/>
    <col min="10418" max="10605" width="8.85546875" style="5"/>
    <col min="10606" max="10606" width="6.140625" style="5" customWidth="1"/>
    <col min="10607" max="10607" width="20.28515625" style="5" customWidth="1"/>
    <col min="10608" max="10608" width="12.42578125" style="5" customWidth="1"/>
    <col min="10609" max="10609" width="13" style="5" customWidth="1"/>
    <col min="10610" max="10610" width="12.5703125" style="5" customWidth="1"/>
    <col min="10611" max="10624" width="11.7109375" style="5" customWidth="1"/>
    <col min="10625" max="10625" width="12.28515625" style="5" customWidth="1"/>
    <col min="10626" max="10626" width="11.7109375" style="5" customWidth="1"/>
    <col min="10627" max="10627" width="12.85546875" style="5" customWidth="1"/>
    <col min="10628" max="10628" width="11.7109375" style="5" customWidth="1"/>
    <col min="10629" max="10629" width="12.7109375" style="5" customWidth="1"/>
    <col min="10630" max="10630" width="11.7109375" style="5" customWidth="1"/>
    <col min="10631" max="10631" width="13" style="5" customWidth="1"/>
    <col min="10632" max="10643" width="11.7109375" style="5" customWidth="1"/>
    <col min="10644" max="10644" width="12.5703125" style="5" customWidth="1"/>
    <col min="10645" max="10645" width="11.7109375" style="5" customWidth="1"/>
    <col min="10646" max="10646" width="13" style="5" customWidth="1"/>
    <col min="10647" max="10652" width="11.7109375" style="5" customWidth="1"/>
    <col min="10653" max="10653" width="13.7109375" style="5" customWidth="1"/>
    <col min="10654" max="10654" width="13.140625" style="5" customWidth="1"/>
    <col min="10655" max="10658" width="13" style="5" customWidth="1"/>
    <col min="10659" max="10665" width="11.7109375" style="5" customWidth="1"/>
    <col min="10666" max="10666" width="10.85546875" style="5" customWidth="1"/>
    <col min="10667" max="10667" width="11.7109375" style="5" customWidth="1"/>
    <col min="10668" max="10670" width="22.7109375" style="5" customWidth="1"/>
    <col min="10671" max="10673" width="20.7109375" style="5" customWidth="1"/>
    <col min="10674" max="10861" width="8.85546875" style="5"/>
    <col min="10862" max="10862" width="6.140625" style="5" customWidth="1"/>
    <col min="10863" max="10863" width="20.28515625" style="5" customWidth="1"/>
    <col min="10864" max="10864" width="12.42578125" style="5" customWidth="1"/>
    <col min="10865" max="10865" width="13" style="5" customWidth="1"/>
    <col min="10866" max="10866" width="12.5703125" style="5" customWidth="1"/>
    <col min="10867" max="10880" width="11.7109375" style="5" customWidth="1"/>
    <col min="10881" max="10881" width="12.28515625" style="5" customWidth="1"/>
    <col min="10882" max="10882" width="11.7109375" style="5" customWidth="1"/>
    <col min="10883" max="10883" width="12.85546875" style="5" customWidth="1"/>
    <col min="10884" max="10884" width="11.7109375" style="5" customWidth="1"/>
    <col min="10885" max="10885" width="12.7109375" style="5" customWidth="1"/>
    <col min="10886" max="10886" width="11.7109375" style="5" customWidth="1"/>
    <col min="10887" max="10887" width="13" style="5" customWidth="1"/>
    <col min="10888" max="10899" width="11.7109375" style="5" customWidth="1"/>
    <col min="10900" max="10900" width="12.5703125" style="5" customWidth="1"/>
    <col min="10901" max="10901" width="11.7109375" style="5" customWidth="1"/>
    <col min="10902" max="10902" width="13" style="5" customWidth="1"/>
    <col min="10903" max="10908" width="11.7109375" style="5" customWidth="1"/>
    <col min="10909" max="10909" width="13.7109375" style="5" customWidth="1"/>
    <col min="10910" max="10910" width="13.140625" style="5" customWidth="1"/>
    <col min="10911" max="10914" width="13" style="5" customWidth="1"/>
    <col min="10915" max="10921" width="11.7109375" style="5" customWidth="1"/>
    <col min="10922" max="10922" width="10.85546875" style="5" customWidth="1"/>
    <col min="10923" max="10923" width="11.7109375" style="5" customWidth="1"/>
    <col min="10924" max="10926" width="22.7109375" style="5" customWidth="1"/>
    <col min="10927" max="10929" width="20.7109375" style="5" customWidth="1"/>
    <col min="10930" max="11117" width="8.85546875" style="5"/>
    <col min="11118" max="11118" width="6.140625" style="5" customWidth="1"/>
    <col min="11119" max="11119" width="20.28515625" style="5" customWidth="1"/>
    <col min="11120" max="11120" width="12.42578125" style="5" customWidth="1"/>
    <col min="11121" max="11121" width="13" style="5" customWidth="1"/>
    <col min="11122" max="11122" width="12.5703125" style="5" customWidth="1"/>
    <col min="11123" max="11136" width="11.7109375" style="5" customWidth="1"/>
    <col min="11137" max="11137" width="12.28515625" style="5" customWidth="1"/>
    <col min="11138" max="11138" width="11.7109375" style="5" customWidth="1"/>
    <col min="11139" max="11139" width="12.85546875" style="5" customWidth="1"/>
    <col min="11140" max="11140" width="11.7109375" style="5" customWidth="1"/>
    <col min="11141" max="11141" width="12.7109375" style="5" customWidth="1"/>
    <col min="11142" max="11142" width="11.7109375" style="5" customWidth="1"/>
    <col min="11143" max="11143" width="13" style="5" customWidth="1"/>
    <col min="11144" max="11155" width="11.7109375" style="5" customWidth="1"/>
    <col min="11156" max="11156" width="12.5703125" style="5" customWidth="1"/>
    <col min="11157" max="11157" width="11.7109375" style="5" customWidth="1"/>
    <col min="11158" max="11158" width="13" style="5" customWidth="1"/>
    <col min="11159" max="11164" width="11.7109375" style="5" customWidth="1"/>
    <col min="11165" max="11165" width="13.7109375" style="5" customWidth="1"/>
    <col min="11166" max="11166" width="13.140625" style="5" customWidth="1"/>
    <col min="11167" max="11170" width="13" style="5" customWidth="1"/>
    <col min="11171" max="11177" width="11.7109375" style="5" customWidth="1"/>
    <col min="11178" max="11178" width="10.85546875" style="5" customWidth="1"/>
    <col min="11179" max="11179" width="11.7109375" style="5" customWidth="1"/>
    <col min="11180" max="11182" width="22.7109375" style="5" customWidth="1"/>
    <col min="11183" max="11185" width="20.7109375" style="5" customWidth="1"/>
    <col min="11186" max="11373" width="8.85546875" style="5"/>
    <col min="11374" max="11374" width="6.140625" style="5" customWidth="1"/>
    <col min="11375" max="11375" width="20.28515625" style="5" customWidth="1"/>
    <col min="11376" max="11376" width="12.42578125" style="5" customWidth="1"/>
    <col min="11377" max="11377" width="13" style="5" customWidth="1"/>
    <col min="11378" max="11378" width="12.5703125" style="5" customWidth="1"/>
    <col min="11379" max="11392" width="11.7109375" style="5" customWidth="1"/>
    <col min="11393" max="11393" width="12.28515625" style="5" customWidth="1"/>
    <col min="11394" max="11394" width="11.7109375" style="5" customWidth="1"/>
    <col min="11395" max="11395" width="12.85546875" style="5" customWidth="1"/>
    <col min="11396" max="11396" width="11.7109375" style="5" customWidth="1"/>
    <col min="11397" max="11397" width="12.7109375" style="5" customWidth="1"/>
    <col min="11398" max="11398" width="11.7109375" style="5" customWidth="1"/>
    <col min="11399" max="11399" width="13" style="5" customWidth="1"/>
    <col min="11400" max="11411" width="11.7109375" style="5" customWidth="1"/>
    <col min="11412" max="11412" width="12.5703125" style="5" customWidth="1"/>
    <col min="11413" max="11413" width="11.7109375" style="5" customWidth="1"/>
    <col min="11414" max="11414" width="13" style="5" customWidth="1"/>
    <col min="11415" max="11420" width="11.7109375" style="5" customWidth="1"/>
    <col min="11421" max="11421" width="13.7109375" style="5" customWidth="1"/>
    <col min="11422" max="11422" width="13.140625" style="5" customWidth="1"/>
    <col min="11423" max="11426" width="13" style="5" customWidth="1"/>
    <col min="11427" max="11433" width="11.7109375" style="5" customWidth="1"/>
    <col min="11434" max="11434" width="10.85546875" style="5" customWidth="1"/>
    <col min="11435" max="11435" width="11.7109375" style="5" customWidth="1"/>
    <col min="11436" max="11438" width="22.7109375" style="5" customWidth="1"/>
    <col min="11439" max="11441" width="20.7109375" style="5" customWidth="1"/>
    <col min="11442" max="11629" width="8.85546875" style="5"/>
    <col min="11630" max="11630" width="6.140625" style="5" customWidth="1"/>
    <col min="11631" max="11631" width="20.28515625" style="5" customWidth="1"/>
    <col min="11632" max="11632" width="12.42578125" style="5" customWidth="1"/>
    <col min="11633" max="11633" width="13" style="5" customWidth="1"/>
    <col min="11634" max="11634" width="12.5703125" style="5" customWidth="1"/>
    <col min="11635" max="11648" width="11.7109375" style="5" customWidth="1"/>
    <col min="11649" max="11649" width="12.28515625" style="5" customWidth="1"/>
    <col min="11650" max="11650" width="11.7109375" style="5" customWidth="1"/>
    <col min="11651" max="11651" width="12.85546875" style="5" customWidth="1"/>
    <col min="11652" max="11652" width="11.7109375" style="5" customWidth="1"/>
    <col min="11653" max="11653" width="12.7109375" style="5" customWidth="1"/>
    <col min="11654" max="11654" width="11.7109375" style="5" customWidth="1"/>
    <col min="11655" max="11655" width="13" style="5" customWidth="1"/>
    <col min="11656" max="11667" width="11.7109375" style="5" customWidth="1"/>
    <col min="11668" max="11668" width="12.5703125" style="5" customWidth="1"/>
    <col min="11669" max="11669" width="11.7109375" style="5" customWidth="1"/>
    <col min="11670" max="11670" width="13" style="5" customWidth="1"/>
    <col min="11671" max="11676" width="11.7109375" style="5" customWidth="1"/>
    <col min="11677" max="11677" width="13.7109375" style="5" customWidth="1"/>
    <col min="11678" max="11678" width="13.140625" style="5" customWidth="1"/>
    <col min="11679" max="11682" width="13" style="5" customWidth="1"/>
    <col min="11683" max="11689" width="11.7109375" style="5" customWidth="1"/>
    <col min="11690" max="11690" width="10.85546875" style="5" customWidth="1"/>
    <col min="11691" max="11691" width="11.7109375" style="5" customWidth="1"/>
    <col min="11692" max="11694" width="22.7109375" style="5" customWidth="1"/>
    <col min="11695" max="11697" width="20.7109375" style="5" customWidth="1"/>
    <col min="11698" max="11885" width="8.85546875" style="5"/>
    <col min="11886" max="11886" width="6.140625" style="5" customWidth="1"/>
    <col min="11887" max="11887" width="20.28515625" style="5" customWidth="1"/>
    <col min="11888" max="11888" width="12.42578125" style="5" customWidth="1"/>
    <col min="11889" max="11889" width="13" style="5" customWidth="1"/>
    <col min="11890" max="11890" width="12.5703125" style="5" customWidth="1"/>
    <col min="11891" max="11904" width="11.7109375" style="5" customWidth="1"/>
    <col min="11905" max="11905" width="12.28515625" style="5" customWidth="1"/>
    <col min="11906" max="11906" width="11.7109375" style="5" customWidth="1"/>
    <col min="11907" max="11907" width="12.85546875" style="5" customWidth="1"/>
    <col min="11908" max="11908" width="11.7109375" style="5" customWidth="1"/>
    <col min="11909" max="11909" width="12.7109375" style="5" customWidth="1"/>
    <col min="11910" max="11910" width="11.7109375" style="5" customWidth="1"/>
    <col min="11911" max="11911" width="13" style="5" customWidth="1"/>
    <col min="11912" max="11923" width="11.7109375" style="5" customWidth="1"/>
    <col min="11924" max="11924" width="12.5703125" style="5" customWidth="1"/>
    <col min="11925" max="11925" width="11.7109375" style="5" customWidth="1"/>
    <col min="11926" max="11926" width="13" style="5" customWidth="1"/>
    <col min="11927" max="11932" width="11.7109375" style="5" customWidth="1"/>
    <col min="11933" max="11933" width="13.7109375" style="5" customWidth="1"/>
    <col min="11934" max="11934" width="13.140625" style="5" customWidth="1"/>
    <col min="11935" max="11938" width="13" style="5" customWidth="1"/>
    <col min="11939" max="11945" width="11.7109375" style="5" customWidth="1"/>
    <col min="11946" max="11946" width="10.85546875" style="5" customWidth="1"/>
    <col min="11947" max="11947" width="11.7109375" style="5" customWidth="1"/>
    <col min="11948" max="11950" width="22.7109375" style="5" customWidth="1"/>
    <col min="11951" max="11953" width="20.7109375" style="5" customWidth="1"/>
    <col min="11954" max="12141" width="8.85546875" style="5"/>
    <col min="12142" max="12142" width="6.140625" style="5" customWidth="1"/>
    <col min="12143" max="12143" width="20.28515625" style="5" customWidth="1"/>
    <col min="12144" max="12144" width="12.42578125" style="5" customWidth="1"/>
    <col min="12145" max="12145" width="13" style="5" customWidth="1"/>
    <col min="12146" max="12146" width="12.5703125" style="5" customWidth="1"/>
    <col min="12147" max="12160" width="11.7109375" style="5" customWidth="1"/>
    <col min="12161" max="12161" width="12.28515625" style="5" customWidth="1"/>
    <col min="12162" max="12162" width="11.7109375" style="5" customWidth="1"/>
    <col min="12163" max="12163" width="12.85546875" style="5" customWidth="1"/>
    <col min="12164" max="12164" width="11.7109375" style="5" customWidth="1"/>
    <col min="12165" max="12165" width="12.7109375" style="5" customWidth="1"/>
    <col min="12166" max="12166" width="11.7109375" style="5" customWidth="1"/>
    <col min="12167" max="12167" width="13" style="5" customWidth="1"/>
    <col min="12168" max="12179" width="11.7109375" style="5" customWidth="1"/>
    <col min="12180" max="12180" width="12.5703125" style="5" customWidth="1"/>
    <col min="12181" max="12181" width="11.7109375" style="5" customWidth="1"/>
    <col min="12182" max="12182" width="13" style="5" customWidth="1"/>
    <col min="12183" max="12188" width="11.7109375" style="5" customWidth="1"/>
    <col min="12189" max="12189" width="13.7109375" style="5" customWidth="1"/>
    <col min="12190" max="12190" width="13.140625" style="5" customWidth="1"/>
    <col min="12191" max="12194" width="13" style="5" customWidth="1"/>
    <col min="12195" max="12201" width="11.7109375" style="5" customWidth="1"/>
    <col min="12202" max="12202" width="10.85546875" style="5" customWidth="1"/>
    <col min="12203" max="12203" width="11.7109375" style="5" customWidth="1"/>
    <col min="12204" max="12206" width="22.7109375" style="5" customWidth="1"/>
    <col min="12207" max="12209" width="20.7109375" style="5" customWidth="1"/>
    <col min="12210" max="12397" width="8.85546875" style="5"/>
    <col min="12398" max="12398" width="6.140625" style="5" customWidth="1"/>
    <col min="12399" max="12399" width="20.28515625" style="5" customWidth="1"/>
    <col min="12400" max="12400" width="12.42578125" style="5" customWidth="1"/>
    <col min="12401" max="12401" width="13" style="5" customWidth="1"/>
    <col min="12402" max="12402" width="12.5703125" style="5" customWidth="1"/>
    <col min="12403" max="12416" width="11.7109375" style="5" customWidth="1"/>
    <col min="12417" max="12417" width="12.28515625" style="5" customWidth="1"/>
    <col min="12418" max="12418" width="11.7109375" style="5" customWidth="1"/>
    <col min="12419" max="12419" width="12.85546875" style="5" customWidth="1"/>
    <col min="12420" max="12420" width="11.7109375" style="5" customWidth="1"/>
    <col min="12421" max="12421" width="12.7109375" style="5" customWidth="1"/>
    <col min="12422" max="12422" width="11.7109375" style="5" customWidth="1"/>
    <col min="12423" max="12423" width="13" style="5" customWidth="1"/>
    <col min="12424" max="12435" width="11.7109375" style="5" customWidth="1"/>
    <col min="12436" max="12436" width="12.5703125" style="5" customWidth="1"/>
    <col min="12437" max="12437" width="11.7109375" style="5" customWidth="1"/>
    <col min="12438" max="12438" width="13" style="5" customWidth="1"/>
    <col min="12439" max="12444" width="11.7109375" style="5" customWidth="1"/>
    <col min="12445" max="12445" width="13.7109375" style="5" customWidth="1"/>
    <col min="12446" max="12446" width="13.140625" style="5" customWidth="1"/>
    <col min="12447" max="12450" width="13" style="5" customWidth="1"/>
    <col min="12451" max="12457" width="11.7109375" style="5" customWidth="1"/>
    <col min="12458" max="12458" width="10.85546875" style="5" customWidth="1"/>
    <col min="12459" max="12459" width="11.7109375" style="5" customWidth="1"/>
    <col min="12460" max="12462" width="22.7109375" style="5" customWidth="1"/>
    <col min="12463" max="12465" width="20.7109375" style="5" customWidth="1"/>
    <col min="12466" max="12653" width="8.85546875" style="5"/>
    <col min="12654" max="12654" width="6.140625" style="5" customWidth="1"/>
    <col min="12655" max="12655" width="20.28515625" style="5" customWidth="1"/>
    <col min="12656" max="12656" width="12.42578125" style="5" customWidth="1"/>
    <col min="12657" max="12657" width="13" style="5" customWidth="1"/>
    <col min="12658" max="12658" width="12.5703125" style="5" customWidth="1"/>
    <col min="12659" max="12672" width="11.7109375" style="5" customWidth="1"/>
    <col min="12673" max="12673" width="12.28515625" style="5" customWidth="1"/>
    <col min="12674" max="12674" width="11.7109375" style="5" customWidth="1"/>
    <col min="12675" max="12675" width="12.85546875" style="5" customWidth="1"/>
    <col min="12676" max="12676" width="11.7109375" style="5" customWidth="1"/>
    <col min="12677" max="12677" width="12.7109375" style="5" customWidth="1"/>
    <col min="12678" max="12678" width="11.7109375" style="5" customWidth="1"/>
    <col min="12679" max="12679" width="13" style="5" customWidth="1"/>
    <col min="12680" max="12691" width="11.7109375" style="5" customWidth="1"/>
    <col min="12692" max="12692" width="12.5703125" style="5" customWidth="1"/>
    <col min="12693" max="12693" width="11.7109375" style="5" customWidth="1"/>
    <col min="12694" max="12694" width="13" style="5" customWidth="1"/>
    <col min="12695" max="12700" width="11.7109375" style="5" customWidth="1"/>
    <col min="12701" max="12701" width="13.7109375" style="5" customWidth="1"/>
    <col min="12702" max="12702" width="13.140625" style="5" customWidth="1"/>
    <col min="12703" max="12706" width="13" style="5" customWidth="1"/>
    <col min="12707" max="12713" width="11.7109375" style="5" customWidth="1"/>
    <col min="12714" max="12714" width="10.85546875" style="5" customWidth="1"/>
    <col min="12715" max="12715" width="11.7109375" style="5" customWidth="1"/>
    <col min="12716" max="12718" width="22.7109375" style="5" customWidth="1"/>
    <col min="12719" max="12721" width="20.7109375" style="5" customWidth="1"/>
    <col min="12722" max="12909" width="8.85546875" style="5"/>
    <col min="12910" max="12910" width="6.140625" style="5" customWidth="1"/>
    <col min="12911" max="12911" width="20.28515625" style="5" customWidth="1"/>
    <col min="12912" max="12912" width="12.42578125" style="5" customWidth="1"/>
    <col min="12913" max="12913" width="13" style="5" customWidth="1"/>
    <col min="12914" max="12914" width="12.5703125" style="5" customWidth="1"/>
    <col min="12915" max="12928" width="11.7109375" style="5" customWidth="1"/>
    <col min="12929" max="12929" width="12.28515625" style="5" customWidth="1"/>
    <col min="12930" max="12930" width="11.7109375" style="5" customWidth="1"/>
    <col min="12931" max="12931" width="12.85546875" style="5" customWidth="1"/>
    <col min="12932" max="12932" width="11.7109375" style="5" customWidth="1"/>
    <col min="12933" max="12933" width="12.7109375" style="5" customWidth="1"/>
    <col min="12934" max="12934" width="11.7109375" style="5" customWidth="1"/>
    <col min="12935" max="12935" width="13" style="5" customWidth="1"/>
    <col min="12936" max="12947" width="11.7109375" style="5" customWidth="1"/>
    <col min="12948" max="12948" width="12.5703125" style="5" customWidth="1"/>
    <col min="12949" max="12949" width="11.7109375" style="5" customWidth="1"/>
    <col min="12950" max="12950" width="13" style="5" customWidth="1"/>
    <col min="12951" max="12956" width="11.7109375" style="5" customWidth="1"/>
    <col min="12957" max="12957" width="13.7109375" style="5" customWidth="1"/>
    <col min="12958" max="12958" width="13.140625" style="5" customWidth="1"/>
    <col min="12959" max="12962" width="13" style="5" customWidth="1"/>
    <col min="12963" max="12969" width="11.7109375" style="5" customWidth="1"/>
    <col min="12970" max="12970" width="10.85546875" style="5" customWidth="1"/>
    <col min="12971" max="12971" width="11.7109375" style="5" customWidth="1"/>
    <col min="12972" max="12974" width="22.7109375" style="5" customWidth="1"/>
    <col min="12975" max="12977" width="20.7109375" style="5" customWidth="1"/>
    <col min="12978" max="13165" width="8.85546875" style="5"/>
    <col min="13166" max="13166" width="6.140625" style="5" customWidth="1"/>
    <col min="13167" max="13167" width="20.28515625" style="5" customWidth="1"/>
    <col min="13168" max="13168" width="12.42578125" style="5" customWidth="1"/>
    <col min="13169" max="13169" width="13" style="5" customWidth="1"/>
    <col min="13170" max="13170" width="12.5703125" style="5" customWidth="1"/>
    <col min="13171" max="13184" width="11.7109375" style="5" customWidth="1"/>
    <col min="13185" max="13185" width="12.28515625" style="5" customWidth="1"/>
    <col min="13186" max="13186" width="11.7109375" style="5" customWidth="1"/>
    <col min="13187" max="13187" width="12.85546875" style="5" customWidth="1"/>
    <col min="13188" max="13188" width="11.7109375" style="5" customWidth="1"/>
    <col min="13189" max="13189" width="12.7109375" style="5" customWidth="1"/>
    <col min="13190" max="13190" width="11.7109375" style="5" customWidth="1"/>
    <col min="13191" max="13191" width="13" style="5" customWidth="1"/>
    <col min="13192" max="13203" width="11.7109375" style="5" customWidth="1"/>
    <col min="13204" max="13204" width="12.5703125" style="5" customWidth="1"/>
    <col min="13205" max="13205" width="11.7109375" style="5" customWidth="1"/>
    <col min="13206" max="13206" width="13" style="5" customWidth="1"/>
    <col min="13207" max="13212" width="11.7109375" style="5" customWidth="1"/>
    <col min="13213" max="13213" width="13.7109375" style="5" customWidth="1"/>
    <col min="13214" max="13214" width="13.140625" style="5" customWidth="1"/>
    <col min="13215" max="13218" width="13" style="5" customWidth="1"/>
    <col min="13219" max="13225" width="11.7109375" style="5" customWidth="1"/>
    <col min="13226" max="13226" width="10.85546875" style="5" customWidth="1"/>
    <col min="13227" max="13227" width="11.7109375" style="5" customWidth="1"/>
    <col min="13228" max="13230" width="22.7109375" style="5" customWidth="1"/>
    <col min="13231" max="13233" width="20.7109375" style="5" customWidth="1"/>
    <col min="13234" max="13421" width="8.85546875" style="5"/>
    <col min="13422" max="13422" width="6.140625" style="5" customWidth="1"/>
    <col min="13423" max="13423" width="20.28515625" style="5" customWidth="1"/>
    <col min="13424" max="13424" width="12.42578125" style="5" customWidth="1"/>
    <col min="13425" max="13425" width="13" style="5" customWidth="1"/>
    <col min="13426" max="13426" width="12.5703125" style="5" customWidth="1"/>
    <col min="13427" max="13440" width="11.7109375" style="5" customWidth="1"/>
    <col min="13441" max="13441" width="12.28515625" style="5" customWidth="1"/>
    <col min="13442" max="13442" width="11.7109375" style="5" customWidth="1"/>
    <col min="13443" max="13443" width="12.85546875" style="5" customWidth="1"/>
    <col min="13444" max="13444" width="11.7109375" style="5" customWidth="1"/>
    <col min="13445" max="13445" width="12.7109375" style="5" customWidth="1"/>
    <col min="13446" max="13446" width="11.7109375" style="5" customWidth="1"/>
    <col min="13447" max="13447" width="13" style="5" customWidth="1"/>
    <col min="13448" max="13459" width="11.7109375" style="5" customWidth="1"/>
    <col min="13460" max="13460" width="12.5703125" style="5" customWidth="1"/>
    <col min="13461" max="13461" width="11.7109375" style="5" customWidth="1"/>
    <col min="13462" max="13462" width="13" style="5" customWidth="1"/>
    <col min="13463" max="13468" width="11.7109375" style="5" customWidth="1"/>
    <col min="13469" max="13469" width="13.7109375" style="5" customWidth="1"/>
    <col min="13470" max="13470" width="13.140625" style="5" customWidth="1"/>
    <col min="13471" max="13474" width="13" style="5" customWidth="1"/>
    <col min="13475" max="13481" width="11.7109375" style="5" customWidth="1"/>
    <col min="13482" max="13482" width="10.85546875" style="5" customWidth="1"/>
    <col min="13483" max="13483" width="11.7109375" style="5" customWidth="1"/>
    <col min="13484" max="13486" width="22.7109375" style="5" customWidth="1"/>
    <col min="13487" max="13489" width="20.7109375" style="5" customWidth="1"/>
    <col min="13490" max="13677" width="8.85546875" style="5"/>
    <col min="13678" max="13678" width="6.140625" style="5" customWidth="1"/>
    <col min="13679" max="13679" width="20.28515625" style="5" customWidth="1"/>
    <col min="13680" max="13680" width="12.42578125" style="5" customWidth="1"/>
    <col min="13681" max="13681" width="13" style="5" customWidth="1"/>
    <col min="13682" max="13682" width="12.5703125" style="5" customWidth="1"/>
    <col min="13683" max="13696" width="11.7109375" style="5" customWidth="1"/>
    <col min="13697" max="13697" width="12.28515625" style="5" customWidth="1"/>
    <col min="13698" max="13698" width="11.7109375" style="5" customWidth="1"/>
    <col min="13699" max="13699" width="12.85546875" style="5" customWidth="1"/>
    <col min="13700" max="13700" width="11.7109375" style="5" customWidth="1"/>
    <col min="13701" max="13701" width="12.7109375" style="5" customWidth="1"/>
    <col min="13702" max="13702" width="11.7109375" style="5" customWidth="1"/>
    <col min="13703" max="13703" width="13" style="5" customWidth="1"/>
    <col min="13704" max="13715" width="11.7109375" style="5" customWidth="1"/>
    <col min="13716" max="13716" width="12.5703125" style="5" customWidth="1"/>
    <col min="13717" max="13717" width="11.7109375" style="5" customWidth="1"/>
    <col min="13718" max="13718" width="13" style="5" customWidth="1"/>
    <col min="13719" max="13724" width="11.7109375" style="5" customWidth="1"/>
    <col min="13725" max="13725" width="13.7109375" style="5" customWidth="1"/>
    <col min="13726" max="13726" width="13.140625" style="5" customWidth="1"/>
    <col min="13727" max="13730" width="13" style="5" customWidth="1"/>
    <col min="13731" max="13737" width="11.7109375" style="5" customWidth="1"/>
    <col min="13738" max="13738" width="10.85546875" style="5" customWidth="1"/>
    <col min="13739" max="13739" width="11.7109375" style="5" customWidth="1"/>
    <col min="13740" max="13742" width="22.7109375" style="5" customWidth="1"/>
    <col min="13743" max="13745" width="20.7109375" style="5" customWidth="1"/>
    <col min="13746" max="13933" width="8.85546875" style="5"/>
    <col min="13934" max="13934" width="6.140625" style="5" customWidth="1"/>
    <col min="13935" max="13935" width="20.28515625" style="5" customWidth="1"/>
    <col min="13936" max="13936" width="12.42578125" style="5" customWidth="1"/>
    <col min="13937" max="13937" width="13" style="5" customWidth="1"/>
    <col min="13938" max="13938" width="12.5703125" style="5" customWidth="1"/>
    <col min="13939" max="13952" width="11.7109375" style="5" customWidth="1"/>
    <col min="13953" max="13953" width="12.28515625" style="5" customWidth="1"/>
    <col min="13954" max="13954" width="11.7109375" style="5" customWidth="1"/>
    <col min="13955" max="13955" width="12.85546875" style="5" customWidth="1"/>
    <col min="13956" max="13956" width="11.7109375" style="5" customWidth="1"/>
    <col min="13957" max="13957" width="12.7109375" style="5" customWidth="1"/>
    <col min="13958" max="13958" width="11.7109375" style="5" customWidth="1"/>
    <col min="13959" max="13959" width="13" style="5" customWidth="1"/>
    <col min="13960" max="13971" width="11.7109375" style="5" customWidth="1"/>
    <col min="13972" max="13972" width="12.5703125" style="5" customWidth="1"/>
    <col min="13973" max="13973" width="11.7109375" style="5" customWidth="1"/>
    <col min="13974" max="13974" width="13" style="5" customWidth="1"/>
    <col min="13975" max="13980" width="11.7109375" style="5" customWidth="1"/>
    <col min="13981" max="13981" width="13.7109375" style="5" customWidth="1"/>
    <col min="13982" max="13982" width="13.140625" style="5" customWidth="1"/>
    <col min="13983" max="13986" width="13" style="5" customWidth="1"/>
    <col min="13987" max="13993" width="11.7109375" style="5" customWidth="1"/>
    <col min="13994" max="13994" width="10.85546875" style="5" customWidth="1"/>
    <col min="13995" max="13995" width="11.7109375" style="5" customWidth="1"/>
    <col min="13996" max="13998" width="22.7109375" style="5" customWidth="1"/>
    <col min="13999" max="14001" width="20.7109375" style="5" customWidth="1"/>
    <col min="14002" max="14189" width="8.85546875" style="5"/>
    <col min="14190" max="14190" width="6.140625" style="5" customWidth="1"/>
    <col min="14191" max="14191" width="20.28515625" style="5" customWidth="1"/>
    <col min="14192" max="14192" width="12.42578125" style="5" customWidth="1"/>
    <col min="14193" max="14193" width="13" style="5" customWidth="1"/>
    <col min="14194" max="14194" width="12.5703125" style="5" customWidth="1"/>
    <col min="14195" max="14208" width="11.7109375" style="5" customWidth="1"/>
    <col min="14209" max="14209" width="12.28515625" style="5" customWidth="1"/>
    <col min="14210" max="14210" width="11.7109375" style="5" customWidth="1"/>
    <col min="14211" max="14211" width="12.85546875" style="5" customWidth="1"/>
    <col min="14212" max="14212" width="11.7109375" style="5" customWidth="1"/>
    <col min="14213" max="14213" width="12.7109375" style="5" customWidth="1"/>
    <col min="14214" max="14214" width="11.7109375" style="5" customWidth="1"/>
    <col min="14215" max="14215" width="13" style="5" customWidth="1"/>
    <col min="14216" max="14227" width="11.7109375" style="5" customWidth="1"/>
    <col min="14228" max="14228" width="12.5703125" style="5" customWidth="1"/>
    <col min="14229" max="14229" width="11.7109375" style="5" customWidth="1"/>
    <col min="14230" max="14230" width="13" style="5" customWidth="1"/>
    <col min="14231" max="14236" width="11.7109375" style="5" customWidth="1"/>
    <col min="14237" max="14237" width="13.7109375" style="5" customWidth="1"/>
    <col min="14238" max="14238" width="13.140625" style="5" customWidth="1"/>
    <col min="14239" max="14242" width="13" style="5" customWidth="1"/>
    <col min="14243" max="14249" width="11.7109375" style="5" customWidth="1"/>
    <col min="14250" max="14250" width="10.85546875" style="5" customWidth="1"/>
    <col min="14251" max="14251" width="11.7109375" style="5" customWidth="1"/>
    <col min="14252" max="14254" width="22.7109375" style="5" customWidth="1"/>
    <col min="14255" max="14257" width="20.7109375" style="5" customWidth="1"/>
    <col min="14258" max="14445" width="8.85546875" style="5"/>
    <col min="14446" max="14446" width="6.140625" style="5" customWidth="1"/>
    <col min="14447" max="14447" width="20.28515625" style="5" customWidth="1"/>
    <col min="14448" max="14448" width="12.42578125" style="5" customWidth="1"/>
    <col min="14449" max="14449" width="13" style="5" customWidth="1"/>
    <col min="14450" max="14450" width="12.5703125" style="5" customWidth="1"/>
    <col min="14451" max="14464" width="11.7109375" style="5" customWidth="1"/>
    <col min="14465" max="14465" width="12.28515625" style="5" customWidth="1"/>
    <col min="14466" max="14466" width="11.7109375" style="5" customWidth="1"/>
    <col min="14467" max="14467" width="12.85546875" style="5" customWidth="1"/>
    <col min="14468" max="14468" width="11.7109375" style="5" customWidth="1"/>
    <col min="14469" max="14469" width="12.7109375" style="5" customWidth="1"/>
    <col min="14470" max="14470" width="11.7109375" style="5" customWidth="1"/>
    <col min="14471" max="14471" width="13" style="5" customWidth="1"/>
    <col min="14472" max="14483" width="11.7109375" style="5" customWidth="1"/>
    <col min="14484" max="14484" width="12.5703125" style="5" customWidth="1"/>
    <col min="14485" max="14485" width="11.7109375" style="5" customWidth="1"/>
    <col min="14486" max="14486" width="13" style="5" customWidth="1"/>
    <col min="14487" max="14492" width="11.7109375" style="5" customWidth="1"/>
    <col min="14493" max="14493" width="13.7109375" style="5" customWidth="1"/>
    <col min="14494" max="14494" width="13.140625" style="5" customWidth="1"/>
    <col min="14495" max="14498" width="13" style="5" customWidth="1"/>
    <col min="14499" max="14505" width="11.7109375" style="5" customWidth="1"/>
    <col min="14506" max="14506" width="10.85546875" style="5" customWidth="1"/>
    <col min="14507" max="14507" width="11.7109375" style="5" customWidth="1"/>
    <col min="14508" max="14510" width="22.7109375" style="5" customWidth="1"/>
    <col min="14511" max="14513" width="20.7109375" style="5" customWidth="1"/>
    <col min="14514" max="14701" width="8.85546875" style="5"/>
    <col min="14702" max="14702" width="6.140625" style="5" customWidth="1"/>
    <col min="14703" max="14703" width="20.28515625" style="5" customWidth="1"/>
    <col min="14704" max="14704" width="12.42578125" style="5" customWidth="1"/>
    <col min="14705" max="14705" width="13" style="5" customWidth="1"/>
    <col min="14706" max="14706" width="12.5703125" style="5" customWidth="1"/>
    <col min="14707" max="14720" width="11.7109375" style="5" customWidth="1"/>
    <col min="14721" max="14721" width="12.28515625" style="5" customWidth="1"/>
    <col min="14722" max="14722" width="11.7109375" style="5" customWidth="1"/>
    <col min="14723" max="14723" width="12.85546875" style="5" customWidth="1"/>
    <col min="14724" max="14724" width="11.7109375" style="5" customWidth="1"/>
    <col min="14725" max="14725" width="12.7109375" style="5" customWidth="1"/>
    <col min="14726" max="14726" width="11.7109375" style="5" customWidth="1"/>
    <col min="14727" max="14727" width="13" style="5" customWidth="1"/>
    <col min="14728" max="14739" width="11.7109375" style="5" customWidth="1"/>
    <col min="14740" max="14740" width="12.5703125" style="5" customWidth="1"/>
    <col min="14741" max="14741" width="11.7109375" style="5" customWidth="1"/>
    <col min="14742" max="14742" width="13" style="5" customWidth="1"/>
    <col min="14743" max="14748" width="11.7109375" style="5" customWidth="1"/>
    <col min="14749" max="14749" width="13.7109375" style="5" customWidth="1"/>
    <col min="14750" max="14750" width="13.140625" style="5" customWidth="1"/>
    <col min="14751" max="14754" width="13" style="5" customWidth="1"/>
    <col min="14755" max="14761" width="11.7109375" style="5" customWidth="1"/>
    <col min="14762" max="14762" width="10.85546875" style="5" customWidth="1"/>
    <col min="14763" max="14763" width="11.7109375" style="5" customWidth="1"/>
    <col min="14764" max="14766" width="22.7109375" style="5" customWidth="1"/>
    <col min="14767" max="14769" width="20.7109375" style="5" customWidth="1"/>
    <col min="14770" max="14957" width="8.85546875" style="5"/>
    <col min="14958" max="14958" width="6.140625" style="5" customWidth="1"/>
    <col min="14959" max="14959" width="20.28515625" style="5" customWidth="1"/>
    <col min="14960" max="14960" width="12.42578125" style="5" customWidth="1"/>
    <col min="14961" max="14961" width="13" style="5" customWidth="1"/>
    <col min="14962" max="14962" width="12.5703125" style="5" customWidth="1"/>
    <col min="14963" max="14976" width="11.7109375" style="5" customWidth="1"/>
    <col min="14977" max="14977" width="12.28515625" style="5" customWidth="1"/>
    <col min="14978" max="14978" width="11.7109375" style="5" customWidth="1"/>
    <col min="14979" max="14979" width="12.85546875" style="5" customWidth="1"/>
    <col min="14980" max="14980" width="11.7109375" style="5" customWidth="1"/>
    <col min="14981" max="14981" width="12.7109375" style="5" customWidth="1"/>
    <col min="14982" max="14982" width="11.7109375" style="5" customWidth="1"/>
    <col min="14983" max="14983" width="13" style="5" customWidth="1"/>
    <col min="14984" max="14995" width="11.7109375" style="5" customWidth="1"/>
    <col min="14996" max="14996" width="12.5703125" style="5" customWidth="1"/>
    <col min="14997" max="14997" width="11.7109375" style="5" customWidth="1"/>
    <col min="14998" max="14998" width="13" style="5" customWidth="1"/>
    <col min="14999" max="15004" width="11.7109375" style="5" customWidth="1"/>
    <col min="15005" max="15005" width="13.7109375" style="5" customWidth="1"/>
    <col min="15006" max="15006" width="13.140625" style="5" customWidth="1"/>
    <col min="15007" max="15010" width="13" style="5" customWidth="1"/>
    <col min="15011" max="15017" width="11.7109375" style="5" customWidth="1"/>
    <col min="15018" max="15018" width="10.85546875" style="5" customWidth="1"/>
    <col min="15019" max="15019" width="11.7109375" style="5" customWidth="1"/>
    <col min="15020" max="15022" width="22.7109375" style="5" customWidth="1"/>
    <col min="15023" max="15025" width="20.7109375" style="5" customWidth="1"/>
    <col min="15026" max="15213" width="8.85546875" style="5"/>
    <col min="15214" max="15214" width="6.140625" style="5" customWidth="1"/>
    <col min="15215" max="15215" width="20.28515625" style="5" customWidth="1"/>
    <col min="15216" max="15216" width="12.42578125" style="5" customWidth="1"/>
    <col min="15217" max="15217" width="13" style="5" customWidth="1"/>
    <col min="15218" max="15218" width="12.5703125" style="5" customWidth="1"/>
    <col min="15219" max="15232" width="11.7109375" style="5" customWidth="1"/>
    <col min="15233" max="15233" width="12.28515625" style="5" customWidth="1"/>
    <col min="15234" max="15234" width="11.7109375" style="5" customWidth="1"/>
    <col min="15235" max="15235" width="12.85546875" style="5" customWidth="1"/>
    <col min="15236" max="15236" width="11.7109375" style="5" customWidth="1"/>
    <col min="15237" max="15237" width="12.7109375" style="5" customWidth="1"/>
    <col min="15238" max="15238" width="11.7109375" style="5" customWidth="1"/>
    <col min="15239" max="15239" width="13" style="5" customWidth="1"/>
    <col min="15240" max="15251" width="11.7109375" style="5" customWidth="1"/>
    <col min="15252" max="15252" width="12.5703125" style="5" customWidth="1"/>
    <col min="15253" max="15253" width="11.7109375" style="5" customWidth="1"/>
    <col min="15254" max="15254" width="13" style="5" customWidth="1"/>
    <col min="15255" max="15260" width="11.7109375" style="5" customWidth="1"/>
    <col min="15261" max="15261" width="13.7109375" style="5" customWidth="1"/>
    <col min="15262" max="15262" width="13.140625" style="5" customWidth="1"/>
    <col min="15263" max="15266" width="13" style="5" customWidth="1"/>
    <col min="15267" max="15273" width="11.7109375" style="5" customWidth="1"/>
    <col min="15274" max="15274" width="10.85546875" style="5" customWidth="1"/>
    <col min="15275" max="15275" width="11.7109375" style="5" customWidth="1"/>
    <col min="15276" max="15278" width="22.7109375" style="5" customWidth="1"/>
    <col min="15279" max="15281" width="20.7109375" style="5" customWidth="1"/>
    <col min="15282" max="15469" width="8.85546875" style="5"/>
    <col min="15470" max="15470" width="6.140625" style="5" customWidth="1"/>
    <col min="15471" max="15471" width="20.28515625" style="5" customWidth="1"/>
    <col min="15472" max="15472" width="12.42578125" style="5" customWidth="1"/>
    <col min="15473" max="15473" width="13" style="5" customWidth="1"/>
    <col min="15474" max="15474" width="12.5703125" style="5" customWidth="1"/>
    <col min="15475" max="15488" width="11.7109375" style="5" customWidth="1"/>
    <col min="15489" max="15489" width="12.28515625" style="5" customWidth="1"/>
    <col min="15490" max="15490" width="11.7109375" style="5" customWidth="1"/>
    <col min="15491" max="15491" width="12.85546875" style="5" customWidth="1"/>
    <col min="15492" max="15492" width="11.7109375" style="5" customWidth="1"/>
    <col min="15493" max="15493" width="12.7109375" style="5" customWidth="1"/>
    <col min="15494" max="15494" width="11.7109375" style="5" customWidth="1"/>
    <col min="15495" max="15495" width="13" style="5" customWidth="1"/>
    <col min="15496" max="15507" width="11.7109375" style="5" customWidth="1"/>
    <col min="15508" max="15508" width="12.5703125" style="5" customWidth="1"/>
    <col min="15509" max="15509" width="11.7109375" style="5" customWidth="1"/>
    <col min="15510" max="15510" width="13" style="5" customWidth="1"/>
    <col min="15511" max="15516" width="11.7109375" style="5" customWidth="1"/>
    <col min="15517" max="15517" width="13.7109375" style="5" customWidth="1"/>
    <col min="15518" max="15518" width="13.140625" style="5" customWidth="1"/>
    <col min="15519" max="15522" width="13" style="5" customWidth="1"/>
    <col min="15523" max="15529" width="11.7109375" style="5" customWidth="1"/>
    <col min="15530" max="15530" width="10.85546875" style="5" customWidth="1"/>
    <col min="15531" max="15531" width="11.7109375" style="5" customWidth="1"/>
    <col min="15532" max="15534" width="22.7109375" style="5" customWidth="1"/>
    <col min="15535" max="15537" width="20.7109375" style="5" customWidth="1"/>
    <col min="15538" max="15725" width="8.85546875" style="5"/>
    <col min="15726" max="15726" width="6.140625" style="5" customWidth="1"/>
    <col min="15727" max="15727" width="20.28515625" style="5" customWidth="1"/>
    <col min="15728" max="15728" width="12.42578125" style="5" customWidth="1"/>
    <col min="15729" max="15729" width="13" style="5" customWidth="1"/>
    <col min="15730" max="15730" width="12.5703125" style="5" customWidth="1"/>
    <col min="15731" max="15744" width="11.7109375" style="5" customWidth="1"/>
    <col min="15745" max="15745" width="12.28515625" style="5" customWidth="1"/>
    <col min="15746" max="15746" width="11.7109375" style="5" customWidth="1"/>
    <col min="15747" max="15747" width="12.85546875" style="5" customWidth="1"/>
    <col min="15748" max="15748" width="11.7109375" style="5" customWidth="1"/>
    <col min="15749" max="15749" width="12.7109375" style="5" customWidth="1"/>
    <col min="15750" max="15750" width="11.7109375" style="5" customWidth="1"/>
    <col min="15751" max="15751" width="13" style="5" customWidth="1"/>
    <col min="15752" max="15763" width="11.7109375" style="5" customWidth="1"/>
    <col min="15764" max="15764" width="12.5703125" style="5" customWidth="1"/>
    <col min="15765" max="15765" width="11.7109375" style="5" customWidth="1"/>
    <col min="15766" max="15766" width="13" style="5" customWidth="1"/>
    <col min="15767" max="15772" width="11.7109375" style="5" customWidth="1"/>
    <col min="15773" max="15773" width="13.7109375" style="5" customWidth="1"/>
    <col min="15774" max="15774" width="13.140625" style="5" customWidth="1"/>
    <col min="15775" max="15778" width="13" style="5" customWidth="1"/>
    <col min="15779" max="15785" width="11.7109375" style="5" customWidth="1"/>
    <col min="15786" max="15786" width="10.85546875" style="5" customWidth="1"/>
    <col min="15787" max="15787" width="11.7109375" style="5" customWidth="1"/>
    <col min="15788" max="15790" width="22.7109375" style="5" customWidth="1"/>
    <col min="15791" max="15793" width="20.7109375" style="5" customWidth="1"/>
    <col min="15794" max="15981" width="8.85546875" style="5"/>
    <col min="15982" max="15982" width="6.140625" style="5" customWidth="1"/>
    <col min="15983" max="15983" width="20.28515625" style="5" customWidth="1"/>
    <col min="15984" max="15984" width="12.42578125" style="5" customWidth="1"/>
    <col min="15985" max="15985" width="13" style="5" customWidth="1"/>
    <col min="15986" max="15986" width="12.5703125" style="5" customWidth="1"/>
    <col min="15987" max="16000" width="11.7109375" style="5" customWidth="1"/>
    <col min="16001" max="16001" width="12.28515625" style="5" customWidth="1"/>
    <col min="16002" max="16002" width="11.7109375" style="5" customWidth="1"/>
    <col min="16003" max="16003" width="12.85546875" style="5" customWidth="1"/>
    <col min="16004" max="16004" width="11.7109375" style="5" customWidth="1"/>
    <col min="16005" max="16005" width="12.7109375" style="5" customWidth="1"/>
    <col min="16006" max="16006" width="11.7109375" style="5" customWidth="1"/>
    <col min="16007" max="16007" width="13" style="5" customWidth="1"/>
    <col min="16008" max="16019" width="11.7109375" style="5" customWidth="1"/>
    <col min="16020" max="16020" width="12.5703125" style="5" customWidth="1"/>
    <col min="16021" max="16021" width="11.7109375" style="5" customWidth="1"/>
    <col min="16022" max="16022" width="13" style="5" customWidth="1"/>
    <col min="16023" max="16028" width="11.7109375" style="5" customWidth="1"/>
    <col min="16029" max="16029" width="13.7109375" style="5" customWidth="1"/>
    <col min="16030" max="16030" width="13.140625" style="5" customWidth="1"/>
    <col min="16031" max="16034" width="13" style="5" customWidth="1"/>
    <col min="16035" max="16041" width="11.7109375" style="5" customWidth="1"/>
    <col min="16042" max="16042" width="10.85546875" style="5" customWidth="1"/>
    <col min="16043" max="16043" width="11.7109375" style="5" customWidth="1"/>
    <col min="16044" max="16046" width="22.7109375" style="5" customWidth="1"/>
    <col min="16047" max="16049" width="20.7109375" style="5" customWidth="1"/>
    <col min="16050" max="16384" width="8.85546875" style="5"/>
  </cols>
  <sheetData>
    <row r="1" spans="1:62" s="31" customFormat="1" ht="24.75" customHeight="1">
      <c r="A1" s="29"/>
      <c r="B1" s="30"/>
      <c r="C1" s="23" t="s">
        <v>138</v>
      </c>
      <c r="D1" s="23"/>
      <c r="E1" s="23"/>
      <c r="F1" s="23"/>
      <c r="G1" s="23"/>
      <c r="H1" s="23"/>
      <c r="I1" s="23" t="str">
        <f>C1</f>
        <v>Table D2: GROSS ENROLMENT RATIO (GER)</v>
      </c>
      <c r="J1" s="23"/>
      <c r="K1" s="23"/>
      <c r="L1" s="23"/>
      <c r="M1" s="23"/>
      <c r="N1" s="23"/>
      <c r="O1" s="23" t="str">
        <f>I1</f>
        <v>Table D2: GROSS ENROLMENT RATIO (GER)</v>
      </c>
      <c r="P1" s="23"/>
      <c r="Q1" s="23"/>
      <c r="R1" s="23"/>
      <c r="S1" s="23"/>
      <c r="T1" s="23"/>
      <c r="U1" s="23" t="str">
        <f>O1</f>
        <v>Table D2: GROSS ENROLMENT RATIO (GER)</v>
      </c>
      <c r="V1" s="23"/>
      <c r="W1" s="23"/>
      <c r="X1" s="23"/>
      <c r="Y1" s="23"/>
      <c r="Z1" s="23"/>
    </row>
    <row r="2" spans="1:62" s="137" customFormat="1" ht="15.75" customHeight="1">
      <c r="C2" s="139" t="s">
        <v>79</v>
      </c>
      <c r="I2" s="139" t="str">
        <f>C2</f>
        <v>Scheduled Caste</v>
      </c>
      <c r="O2" s="139" t="str">
        <f>I2</f>
        <v>Scheduled Caste</v>
      </c>
      <c r="U2" s="139" t="str">
        <f>O2</f>
        <v>Scheduled Caste</v>
      </c>
      <c r="AA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</row>
    <row r="3" spans="1:62" s="33" customFormat="1" ht="32.25" customHeight="1">
      <c r="A3" s="283" t="s">
        <v>67</v>
      </c>
      <c r="B3" s="283" t="s">
        <v>65</v>
      </c>
      <c r="C3" s="283" t="s">
        <v>89</v>
      </c>
      <c r="D3" s="285"/>
      <c r="E3" s="285"/>
      <c r="F3" s="283" t="s">
        <v>90</v>
      </c>
      <c r="G3" s="285"/>
      <c r="H3" s="285"/>
      <c r="I3" s="283" t="s">
        <v>91</v>
      </c>
      <c r="J3" s="285"/>
      <c r="K3" s="285"/>
      <c r="L3" s="308" t="s">
        <v>92</v>
      </c>
      <c r="M3" s="309"/>
      <c r="N3" s="310"/>
      <c r="O3" s="308" t="s">
        <v>93</v>
      </c>
      <c r="P3" s="309"/>
      <c r="Q3" s="310"/>
      <c r="R3" s="308" t="s">
        <v>94</v>
      </c>
      <c r="S3" s="309"/>
      <c r="T3" s="310"/>
      <c r="U3" s="308" t="s">
        <v>95</v>
      </c>
      <c r="V3" s="311"/>
      <c r="W3" s="312"/>
      <c r="X3" s="308" t="s">
        <v>96</v>
      </c>
      <c r="Y3" s="309"/>
      <c r="Z3" s="310"/>
    </row>
    <row r="4" spans="1:62" s="33" customFormat="1" ht="20.25" customHeight="1">
      <c r="A4" s="283"/>
      <c r="B4" s="283"/>
      <c r="C4" s="44" t="s">
        <v>13</v>
      </c>
      <c r="D4" s="44" t="s">
        <v>14</v>
      </c>
      <c r="E4" s="44" t="s">
        <v>15</v>
      </c>
      <c r="F4" s="44" t="s">
        <v>13</v>
      </c>
      <c r="G4" s="44" t="s">
        <v>14</v>
      </c>
      <c r="H4" s="44" t="s">
        <v>15</v>
      </c>
      <c r="I4" s="44" t="s">
        <v>13</v>
      </c>
      <c r="J4" s="44" t="s">
        <v>14</v>
      </c>
      <c r="K4" s="44" t="s">
        <v>15</v>
      </c>
      <c r="L4" s="44" t="s">
        <v>13</v>
      </c>
      <c r="M4" s="44" t="s">
        <v>14</v>
      </c>
      <c r="N4" s="44" t="s">
        <v>15</v>
      </c>
      <c r="O4" s="44" t="s">
        <v>13</v>
      </c>
      <c r="P4" s="44" t="s">
        <v>14</v>
      </c>
      <c r="Q4" s="44" t="s">
        <v>15</v>
      </c>
      <c r="R4" s="44" t="s">
        <v>13</v>
      </c>
      <c r="S4" s="44" t="s">
        <v>14</v>
      </c>
      <c r="T4" s="44" t="s">
        <v>15</v>
      </c>
      <c r="U4" s="44" t="s">
        <v>13</v>
      </c>
      <c r="V4" s="44" t="s">
        <v>14</v>
      </c>
      <c r="W4" s="44" t="s">
        <v>15</v>
      </c>
      <c r="X4" s="44" t="s">
        <v>13</v>
      </c>
      <c r="Y4" s="44" t="s">
        <v>14</v>
      </c>
      <c r="Z4" s="44" t="s">
        <v>15</v>
      </c>
    </row>
    <row r="5" spans="1:62" s="34" customFormat="1" ht="13.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</row>
    <row r="6" spans="1:62" s="35" customFormat="1" ht="18.75" customHeight="1">
      <c r="A6" s="25">
        <v>1</v>
      </c>
      <c r="B6" s="26" t="s">
        <v>16</v>
      </c>
      <c r="C6" s="45">
        <f>EnrlSC!U6/'SC-Population'!C6%</f>
        <v>103.82627207579984</v>
      </c>
      <c r="D6" s="45">
        <f>EnrlSC!V6/'SC-Population'!D6%</f>
        <v>103.85381473645764</v>
      </c>
      <c r="E6" s="45">
        <f>EnrlSC!W6/'SC-Population'!E6%</f>
        <v>103.83982442339428</v>
      </c>
      <c r="F6" s="45">
        <f>EnrlSC!AG6/'SC-Population'!F6%</f>
        <v>81.48603584827012</v>
      </c>
      <c r="G6" s="45">
        <f>EnrlSC!AH6/'SC-Population'!G6%</f>
        <v>81.20020134025809</v>
      </c>
      <c r="H6" s="45">
        <f>EnrlSC!AI6/'SC-Population'!H6%</f>
        <v>81.343236017711732</v>
      </c>
      <c r="I6" s="45">
        <f>EnrlSC!AJ6/('SC-Population'!C6+'SC-Population'!F6)%</f>
        <v>95.047049615958656</v>
      </c>
      <c r="J6" s="45">
        <f>EnrlSC!AK6/('SC-Population'!D6+'SC-Population'!G6)%</f>
        <v>94.78793223485728</v>
      </c>
      <c r="K6" s="45">
        <f>EnrlSC!AL6/('SC-Population'!E6+'SC-Population'!H6)%</f>
        <v>94.918776337375746</v>
      </c>
      <c r="L6" s="45">
        <f>EnrlSC!AS6/'SC-Population'!I6%</f>
        <v>67.239620972153745</v>
      </c>
      <c r="M6" s="45">
        <f>EnrlSC!AT6/'SC-Population'!J6%</f>
        <v>68.992356826416838</v>
      </c>
      <c r="N6" s="45">
        <f>EnrlSC!AU6/'SC-Population'!K6%</f>
        <v>68.099350156654054</v>
      </c>
      <c r="O6" s="45">
        <f>EnrlSC!AV6/('SC-Population'!C6+'SC-Population'!F6+'SC-Population'!I6)%</f>
        <v>89.144036485477059</v>
      </c>
      <c r="P6" s="45">
        <f>EnrlSC!AW6/('SC-Population'!D6+'SC-Population'!G6+'SC-Population'!J6)%</f>
        <v>89.389807691319575</v>
      </c>
      <c r="Q6" s="45">
        <f>EnrlSC!AX6/('SC-Population'!E6+'SC-Population'!H6+'SC-Population'!K6)%</f>
        <v>89.265468081718865</v>
      </c>
      <c r="R6" s="45">
        <f>EnrlSC!BE6/'SC-Population'!L6%</f>
        <v>52.739823642695576</v>
      </c>
      <c r="S6" s="45">
        <f>EnrlSC!BF6/'SC-Population'!M6%</f>
        <v>53.361727654469107</v>
      </c>
      <c r="T6" s="45">
        <f>EnrlSC!BG6/'SC-Population'!N6%</f>
        <v>53.036763484367931</v>
      </c>
      <c r="U6" s="45">
        <f>(EnrlSC!AS6+EnrlSC!BE6)/('SC-Population'!L6+'SC-Population'!I6)%</f>
        <v>60.275722873063927</v>
      </c>
      <c r="V6" s="45">
        <f>(EnrlSC!AT6+EnrlSC!BF6)/('SC-Population'!M6+'SC-Population'!J6)%</f>
        <v>61.688788562266765</v>
      </c>
      <c r="W6" s="45">
        <f>(EnrlSC!AU6+EnrlSC!BG6)/('SC-Population'!N6+'SC-Population'!K6)%</f>
        <v>60.960109184770609</v>
      </c>
      <c r="X6" s="45">
        <f>EnrlSC!BH6/('SC-Population'!C6+'SC-Population'!F6+'SC-Population'!I6+'SC-Population'!L6)%</f>
        <v>83.173829792972015</v>
      </c>
      <c r="Y6" s="45">
        <f>EnrlSC!BI6/('SC-Population'!D6+'SC-Population'!G6+'SC-Population'!J6+'SC-Population'!M6)%</f>
        <v>83.802564018280933</v>
      </c>
      <c r="Z6" s="45">
        <f>EnrlSC!BJ6/('SC-Population'!E6+'SC-Population'!H6+'SC-Population'!K6+'SC-Population'!N6)%</f>
        <v>83.482809845516897</v>
      </c>
    </row>
    <row r="7" spans="1:62" s="35" customFormat="1" ht="18.75" customHeight="1">
      <c r="A7" s="25">
        <v>2</v>
      </c>
      <c r="B7" s="26" t="s">
        <v>17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62" s="35" customFormat="1" ht="18.75" customHeight="1">
      <c r="A8" s="25">
        <v>3</v>
      </c>
      <c r="B8" s="26" t="s">
        <v>48</v>
      </c>
      <c r="C8" s="45">
        <f>EnrlSC!U8/'SC-Population'!C8%</f>
        <v>120.34315566348714</v>
      </c>
      <c r="D8" s="45">
        <f>EnrlSC!V8/'SC-Population'!D8%</f>
        <v>122.51595892311961</v>
      </c>
      <c r="E8" s="45">
        <f>EnrlSC!W8/'SC-Population'!E8%</f>
        <v>121.40861244019139</v>
      </c>
      <c r="F8" s="45">
        <f>EnrlSC!AG8/'SC-Population'!F8%</f>
        <v>96.852039186455116</v>
      </c>
      <c r="G8" s="45">
        <f>EnrlSC!AH8/'SC-Population'!G8%</f>
        <v>96.942264302423766</v>
      </c>
      <c r="H8" s="45">
        <f>EnrlSC!AI8/'SC-Population'!H8%</f>
        <v>96.896268601013759</v>
      </c>
      <c r="I8" s="45">
        <f>EnrlSC!AJ8/('SC-Population'!C8+'SC-Population'!F8)%</f>
        <v>111.29069487117673</v>
      </c>
      <c r="J8" s="45">
        <f>EnrlSC!AK8/('SC-Population'!D8+'SC-Population'!G8)%</f>
        <v>112.66456577031977</v>
      </c>
      <c r="K8" s="45">
        <f>EnrlSC!AL8/('SC-Population'!E8+'SC-Population'!H8)%</f>
        <v>111.96430812348365</v>
      </c>
      <c r="L8" s="45">
        <f>EnrlSC!AS8/'SC-Population'!I8%</f>
        <v>80.855409263959388</v>
      </c>
      <c r="M8" s="45">
        <f>EnrlSC!AT8/'SC-Population'!J8%</f>
        <v>93.025931862080299</v>
      </c>
      <c r="N8" s="45">
        <f>EnrlSC!AU8/'SC-Population'!K8%</f>
        <v>86.832226684695954</v>
      </c>
      <c r="O8" s="45">
        <f>EnrlSC!AV8/('SC-Population'!C8+'SC-Population'!F8+'SC-Population'!I8)%</f>
        <v>105.03567804587819</v>
      </c>
      <c r="P8" s="45">
        <f>EnrlSC!AW8/('SC-Population'!D8+'SC-Population'!G8+'SC-Population'!J8)%</f>
        <v>108.61836116932325</v>
      </c>
      <c r="Q8" s="45">
        <f>EnrlSC!AX8/('SC-Population'!E8+'SC-Population'!H8+'SC-Population'!K8)%</f>
        <v>106.79285871501722</v>
      </c>
      <c r="R8" s="45">
        <f>EnrlSC!BE8/'SC-Population'!L8%</f>
        <v>17.441209406494959</v>
      </c>
      <c r="S8" s="45">
        <f>EnrlSC!BF8/'SC-Population'!M8%</f>
        <v>18.62833038376688</v>
      </c>
      <c r="T8" s="45">
        <f>EnrlSC!BG8/'SC-Population'!N8%</f>
        <v>17.999657866225693</v>
      </c>
      <c r="U8" s="45">
        <f>(EnrlSC!AS8+EnrlSC!BE8)/('SC-Population'!L8+'SC-Population'!I8)%</f>
        <v>50.456291035223195</v>
      </c>
      <c r="V8" s="45">
        <f>(EnrlSC!AT8+EnrlSC!BF8)/('SC-Population'!M8+'SC-Population'!J8)%</f>
        <v>58.89562364455319</v>
      </c>
      <c r="W8" s="45">
        <f>(EnrlSC!AU8+EnrlSC!BG8)/('SC-Population'!N8+'SC-Population'!K8)%</f>
        <v>54.518880197876683</v>
      </c>
      <c r="X8" s="45">
        <f>EnrlSC!BH8/('SC-Population'!C8+'SC-Population'!F8+'SC-Population'!I8+'SC-Population'!L8)%</f>
        <v>91.097404266255467</v>
      </c>
      <c r="Y8" s="45">
        <f>EnrlSC!BI8/('SC-Population'!D8+'SC-Population'!G8+'SC-Population'!J8+'SC-Population'!M8)%</f>
        <v>95.239571244242285</v>
      </c>
      <c r="Z8" s="45">
        <f>EnrlSC!BJ8/('SC-Population'!E8+'SC-Population'!H8+'SC-Population'!K8+'SC-Population'!N8)%</f>
        <v>93.116204883721338</v>
      </c>
    </row>
    <row r="9" spans="1:62" s="35" customFormat="1" ht="18.75" customHeight="1">
      <c r="A9" s="25">
        <v>4</v>
      </c>
      <c r="B9" s="26" t="s">
        <v>18</v>
      </c>
      <c r="C9" s="45">
        <f>EnrlSC!U9/'SC-Population'!C9%</f>
        <v>111.32564140147294</v>
      </c>
      <c r="D9" s="45">
        <f>EnrlSC!V9/'SC-Population'!D9%</f>
        <v>98.421378532881221</v>
      </c>
      <c r="E9" s="45">
        <f>EnrlSC!W9/'SC-Population'!E9%</f>
        <v>105.09560995914129</v>
      </c>
      <c r="F9" s="45">
        <f>EnrlSC!AG9/'SC-Population'!F9%</f>
        <v>64.468323618446234</v>
      </c>
      <c r="G9" s="45">
        <f>EnrlSC!AH9/'SC-Population'!G9%</f>
        <v>58.138613247226303</v>
      </c>
      <c r="H9" s="45">
        <f>EnrlSC!AI9/'SC-Population'!H9%</f>
        <v>61.509083468667029</v>
      </c>
      <c r="I9" s="45">
        <f>EnrlSC!AJ9/('SC-Population'!C9+'SC-Population'!F9)%</f>
        <v>96.628083157403722</v>
      </c>
      <c r="J9" s="45">
        <f>EnrlSC!AK9/('SC-Population'!D9+'SC-Population'!G9)%</f>
        <v>86.311018329780637</v>
      </c>
      <c r="K9" s="45">
        <f>EnrlSC!AL9/('SC-Population'!E9+'SC-Population'!H9)%</f>
        <v>91.695564115683581</v>
      </c>
      <c r="L9" s="45">
        <f>EnrlSC!AS9/'SC-Population'!I9%</f>
        <v>42.462936294976323</v>
      </c>
      <c r="M9" s="45">
        <f>EnrlSC!AT9/'SC-Population'!J9%</f>
        <v>37.751751605082987</v>
      </c>
      <c r="N9" s="45">
        <f>EnrlSC!AU9/'SC-Population'!K9%</f>
        <v>40.401784413480421</v>
      </c>
      <c r="O9" s="45">
        <f>EnrlSC!AV9/('SC-Population'!C9+'SC-Population'!F9+'SC-Population'!I9)%</f>
        <v>88.241081000004414</v>
      </c>
      <c r="P9" s="45">
        <f>EnrlSC!AW9/('SC-Population'!D9+'SC-Population'!G9+'SC-Population'!J9)%</f>
        <v>79.774166752960085</v>
      </c>
      <c r="Q9" s="45">
        <f>EnrlSC!AX9/('SC-Population'!E9+'SC-Population'!H9+'SC-Population'!K9)%</f>
        <v>84.243040664827916</v>
      </c>
      <c r="R9" s="45">
        <f>EnrlSC!BE9/'SC-Population'!L9%</f>
        <v>27.935645108662527</v>
      </c>
      <c r="S9" s="45">
        <f>EnrlSC!BF9/'SC-Population'!M9%</f>
        <v>28.913862246687302</v>
      </c>
      <c r="T9" s="45">
        <f>EnrlSC!BG9/'SC-Population'!N9%</f>
        <v>28.340278449395964</v>
      </c>
      <c r="U9" s="45">
        <f>(EnrlSC!AS9+EnrlSC!BE9)/('SC-Population'!L9+'SC-Population'!I9)%</f>
        <v>36.370253074138738</v>
      </c>
      <c r="V9" s="45">
        <f>(EnrlSC!AT9+EnrlSC!BF9)/('SC-Population'!M9+'SC-Population'!J9)%</f>
        <v>34.253448924531071</v>
      </c>
      <c r="W9" s="45">
        <f>(EnrlSC!AU9+EnrlSC!BG9)/('SC-Population'!N9+'SC-Population'!K9)%</f>
        <v>35.464819082599128</v>
      </c>
      <c r="X9" s="45">
        <f>EnrlSC!BH9/('SC-Population'!C9+'SC-Population'!F9+'SC-Population'!I9+'SC-Population'!L9)%</f>
        <v>82.174537217388803</v>
      </c>
      <c r="Y9" s="45">
        <f>EnrlSC!BI9/('SC-Population'!D9+'SC-Population'!G9+'SC-Population'!J9+'SC-Population'!M9)%</f>
        <v>75.652068956426021</v>
      </c>
      <c r="Z9" s="45">
        <f>EnrlSC!BJ9/('SC-Population'!E9+'SC-Population'!H9+'SC-Population'!K9+'SC-Population'!N9)%</f>
        <v>79.129588773860235</v>
      </c>
    </row>
    <row r="10" spans="1:62" s="35" customFormat="1" ht="18.75" customHeight="1">
      <c r="A10" s="25">
        <v>5</v>
      </c>
      <c r="B10" s="28" t="s">
        <v>19</v>
      </c>
      <c r="C10" s="45">
        <f>EnrlSC!U10/'SC-Population'!C10%</f>
        <v>122.06713870918446</v>
      </c>
      <c r="D10" s="45">
        <f>EnrlSC!V10/'SC-Population'!D10%</f>
        <v>116.76117009569127</v>
      </c>
      <c r="E10" s="45">
        <f>EnrlSC!W10/'SC-Population'!E10%</f>
        <v>119.45176322288005</v>
      </c>
      <c r="F10" s="45">
        <f>EnrlSC!AG10/'SC-Population'!F10%</f>
        <v>96.706527626138012</v>
      </c>
      <c r="G10" s="45">
        <f>EnrlSC!AH10/'SC-Population'!G10%</f>
        <v>87.11880669923238</v>
      </c>
      <c r="H10" s="45">
        <f>EnrlSC!AI10/'SC-Population'!H10%</f>
        <v>91.947558245764426</v>
      </c>
      <c r="I10" s="45">
        <f>EnrlSC!AJ10/('SC-Population'!C10+'SC-Population'!F10)%</f>
        <v>112.63118500724497</v>
      </c>
      <c r="J10" s="45">
        <f>EnrlSC!AK10/('SC-Population'!D10+'SC-Population'!G10)%</f>
        <v>105.63638030262356</v>
      </c>
      <c r="K10" s="45">
        <f>EnrlSC!AL10/('SC-Population'!E10+'SC-Population'!H10)%</f>
        <v>109.17434754964059</v>
      </c>
      <c r="L10" s="45">
        <f>EnrlSC!AS10/'SC-Population'!I10%</f>
        <v>68.839545334390692</v>
      </c>
      <c r="M10" s="45">
        <f>EnrlSC!AT10/'SC-Population'!J10%</f>
        <v>68.204497300252896</v>
      </c>
      <c r="N10" s="45">
        <f>EnrlSC!AU10/'SC-Population'!K10%</f>
        <v>68.527366192924092</v>
      </c>
      <c r="O10" s="45">
        <f>EnrlSC!AV10/('SC-Population'!C10+'SC-Population'!F10+'SC-Population'!I10)%</f>
        <v>104.0982149985449</v>
      </c>
      <c r="P10" s="45">
        <f>EnrlSC!AW10/('SC-Population'!D10+'SC-Population'!G10+'SC-Population'!J10)%</f>
        <v>98.403927979990328</v>
      </c>
      <c r="Q10" s="45">
        <f>EnrlSC!AX10/('SC-Population'!E10+'SC-Population'!H10+'SC-Population'!K10)%</f>
        <v>101.28698618347964</v>
      </c>
      <c r="R10" s="45">
        <f>EnrlSC!BE10/'SC-Population'!L10%</f>
        <v>40.571776155717764</v>
      </c>
      <c r="S10" s="45">
        <f>EnrlSC!BF10/'SC-Population'!M10%</f>
        <v>35.6989342938029</v>
      </c>
      <c r="T10" s="45">
        <f>EnrlSC!BG10/'SC-Population'!N10%</f>
        <v>38.192227795510973</v>
      </c>
      <c r="U10" s="45">
        <f>(EnrlSC!AS10+EnrlSC!BE10)/('SC-Population'!L10+'SC-Population'!I10)%</f>
        <v>55.185443314748007</v>
      </c>
      <c r="V10" s="45">
        <f>(EnrlSC!AT10+EnrlSC!BF10)/('SC-Population'!M10+'SC-Population'!J10)%</f>
        <v>52.609122327942998</v>
      </c>
      <c r="W10" s="45">
        <f>(EnrlSC!AU10+EnrlSC!BG10)/('SC-Population'!N10+'SC-Population'!K10)%</f>
        <v>53.923003477666974</v>
      </c>
      <c r="X10" s="45">
        <f>EnrlSC!BH10/('SC-Population'!C10+'SC-Population'!F10+'SC-Population'!I10+'SC-Population'!L10)%</f>
        <v>94.313950625622297</v>
      </c>
      <c r="Y10" s="45">
        <f>EnrlSC!BI10/('SC-Population'!D10+'SC-Population'!G10+'SC-Population'!J10+'SC-Population'!M10)%</f>
        <v>88.920248204374062</v>
      </c>
      <c r="Z10" s="45">
        <f>EnrlSC!BJ10/('SC-Population'!E10+'SC-Population'!H10+'SC-Population'!K10+'SC-Population'!N10)%</f>
        <v>91.655534894101763</v>
      </c>
    </row>
    <row r="11" spans="1:62" s="35" customFormat="1" ht="18.75" customHeight="1">
      <c r="A11" s="25">
        <v>6</v>
      </c>
      <c r="B11" s="26" t="s">
        <v>20</v>
      </c>
      <c r="C11" s="45">
        <f>EnrlSC!U11/'SC-Population'!C11%</f>
        <v>134.69387755102042</v>
      </c>
      <c r="D11" s="45">
        <f>EnrlSC!V11/'SC-Population'!D11%</f>
        <v>93.512974051896208</v>
      </c>
      <c r="E11" s="45">
        <f>EnrlSC!W11/'SC-Population'!E11%</f>
        <v>114.37715411127525</v>
      </c>
      <c r="F11" s="45">
        <f>EnrlSC!AG11/'SC-Population'!F11%</f>
        <v>136.66666666666666</v>
      </c>
      <c r="G11" s="45">
        <f>EnrlSC!AH11/'SC-Population'!G11%</f>
        <v>118.56677524429968</v>
      </c>
      <c r="H11" s="45">
        <f>EnrlSC!AI11/'SC-Population'!H11%</f>
        <v>127.51235584843492</v>
      </c>
      <c r="I11" s="45">
        <f>EnrlSC!AJ11/('SC-Population'!C11+'SC-Population'!F11)%</f>
        <v>135.42050337630448</v>
      </c>
      <c r="J11" s="45">
        <f>EnrlSC!AK11/('SC-Population'!D11+'SC-Population'!G11)%</f>
        <v>103.03217821782178</v>
      </c>
      <c r="K11" s="45">
        <f>EnrlSC!AL11/('SC-Population'!E11+'SC-Population'!H11)%</f>
        <v>119.29121725731895</v>
      </c>
      <c r="L11" s="45">
        <f>EnrlSC!AS11/'SC-Population'!I11%</f>
        <v>73.963133640552996</v>
      </c>
      <c r="M11" s="45">
        <f>EnrlSC!AT11/'SC-Population'!J11%</f>
        <v>78.304239401496261</v>
      </c>
      <c r="N11" s="45">
        <f>EnrlSC!AU11/'SC-Population'!K11%</f>
        <v>76.047904191616766</v>
      </c>
      <c r="O11" s="45">
        <f>EnrlSC!AV11/('SC-Population'!C11+'SC-Population'!F11+'SC-Population'!I11)%</f>
        <v>122.4915172079496</v>
      </c>
      <c r="P11" s="45">
        <f>EnrlSC!AW11/('SC-Population'!D11+'SC-Population'!G11+'SC-Population'!J11)%</f>
        <v>98.11601388200296</v>
      </c>
      <c r="Q11" s="45">
        <f>EnrlSC!AX11/('SC-Population'!E11+'SC-Population'!H11+'SC-Population'!K11)%</f>
        <v>110.44117647058825</v>
      </c>
      <c r="R11" s="45">
        <f>EnrlSC!BE11/'SC-Population'!L11%</f>
        <v>60.880195599022009</v>
      </c>
      <c r="S11" s="45">
        <f>EnrlSC!BF11/'SC-Population'!M11%</f>
        <v>62.409638554216862</v>
      </c>
      <c r="T11" s="45">
        <f>EnrlSC!BG11/'SC-Population'!N11%</f>
        <v>61.650485436893206</v>
      </c>
      <c r="U11" s="45">
        <f>(EnrlSC!AS11+EnrlSC!BE11)/('SC-Population'!L11+'SC-Population'!I11)%</f>
        <v>67.615658362989322</v>
      </c>
      <c r="V11" s="45">
        <f>(EnrlSC!AT11+EnrlSC!BF11)/('SC-Population'!M11+'SC-Population'!J11)%</f>
        <v>70.220588235294116</v>
      </c>
      <c r="W11" s="45">
        <f>(EnrlSC!AU11+EnrlSC!BG11)/('SC-Population'!N11+'SC-Population'!K11)%</f>
        <v>68.896925858951178</v>
      </c>
      <c r="X11" s="45">
        <f>EnrlSC!BH11/('SC-Population'!C11+'SC-Population'!F11+'SC-Population'!I11+'SC-Population'!L11)%</f>
        <v>112.29773462783172</v>
      </c>
      <c r="Y11" s="45">
        <f>EnrlSC!BI11/('SC-Population'!D11+'SC-Population'!G11+'SC-Population'!J11+'SC-Population'!M11)%</f>
        <v>92.02302631578948</v>
      </c>
      <c r="Z11" s="45">
        <f>EnrlSC!BJ11/('SC-Population'!E11+'SC-Population'!H11+'SC-Population'!K11+'SC-Population'!N11)%</f>
        <v>102.24306688417619</v>
      </c>
    </row>
    <row r="12" spans="1:62" s="35" customFormat="1" ht="18.75" customHeight="1">
      <c r="A12" s="25">
        <v>7</v>
      </c>
      <c r="B12" s="26" t="s">
        <v>21</v>
      </c>
      <c r="C12" s="45">
        <f>EnrlSC!U12/'SC-Population'!C12%</f>
        <v>109.12874033952045</v>
      </c>
      <c r="D12" s="45">
        <f>EnrlSC!V12/'SC-Population'!D12%</f>
        <v>120.6835807428731</v>
      </c>
      <c r="E12" s="45">
        <f>EnrlSC!W12/'SC-Population'!E12%</f>
        <v>114.53250347865837</v>
      </c>
      <c r="F12" s="45">
        <f>EnrlSC!AG12/'SC-Population'!F12%</f>
        <v>79.317415172961176</v>
      </c>
      <c r="G12" s="45">
        <f>EnrlSC!AH12/'SC-Population'!G12%</f>
        <v>73.992806643566723</v>
      </c>
      <c r="H12" s="45">
        <f>EnrlSC!AI12/'SC-Population'!H12%</f>
        <v>76.805708695044501</v>
      </c>
      <c r="I12" s="45">
        <f>EnrlSC!AJ12/('SC-Population'!C12+'SC-Population'!F12)%</f>
        <v>97.472824603395807</v>
      </c>
      <c r="J12" s="45">
        <f>EnrlSC!AK12/('SC-Population'!D12+'SC-Population'!G12)%</f>
        <v>102.24669073796625</v>
      </c>
      <c r="K12" s="45">
        <f>EnrlSC!AL12/('SC-Population'!E12+'SC-Population'!H12)%</f>
        <v>99.712984624394167</v>
      </c>
      <c r="L12" s="45">
        <f>EnrlSC!AS12/'SC-Population'!I12%</f>
        <v>85.094606911850292</v>
      </c>
      <c r="M12" s="45">
        <f>EnrlSC!AT12/'SC-Population'!J12%</f>
        <v>63.748129274838902</v>
      </c>
      <c r="N12" s="45">
        <f>EnrlSC!AU12/'SC-Population'!K12%</f>
        <v>75.055260831122908</v>
      </c>
      <c r="O12" s="45">
        <f>EnrlSC!AV12/('SC-Population'!C12+'SC-Population'!F12+'SC-Population'!I12)%</f>
        <v>94.905688738675138</v>
      </c>
      <c r="P12" s="45">
        <f>EnrlSC!AW12/('SC-Population'!D12+'SC-Population'!G12+'SC-Population'!J12)%</f>
        <v>94.23571862421116</v>
      </c>
      <c r="Q12" s="45">
        <f>EnrlSC!AX12/('SC-Population'!E12+'SC-Population'!H12+'SC-Population'!K12)%</f>
        <v>94.591155908586728</v>
      </c>
      <c r="R12" s="45">
        <f>EnrlSC!BE12/'SC-Population'!L12%</f>
        <v>53.032758817486588</v>
      </c>
      <c r="S12" s="45">
        <f>EnrlSC!BF12/'SC-Population'!M12%</f>
        <v>42.124178008869862</v>
      </c>
      <c r="T12" s="45">
        <f>EnrlSC!BG12/'SC-Population'!N12%</f>
        <v>47.878707595226338</v>
      </c>
      <c r="U12" s="45">
        <f>(EnrlSC!AS12+EnrlSC!BE12)/('SC-Population'!L12+'SC-Population'!I12)%</f>
        <v>69.373317438196466</v>
      </c>
      <c r="V12" s="45">
        <f>(EnrlSC!AT12+EnrlSC!BF12)/('SC-Population'!M12+'SC-Population'!J12)%</f>
        <v>53.09787282119521</v>
      </c>
      <c r="W12" s="45">
        <f>(EnrlSC!AU12+EnrlSC!BG12)/('SC-Population'!N12+'SC-Population'!K12)%</f>
        <v>61.701529631054171</v>
      </c>
      <c r="X12" s="45">
        <f>EnrlSC!BH12/('SC-Population'!C12+'SC-Population'!F12+'SC-Population'!I12+'SC-Population'!L12)%</f>
        <v>87.940488486542321</v>
      </c>
      <c r="Y12" s="45">
        <f>EnrlSC!BI12/('SC-Population'!D12+'SC-Population'!G12+'SC-Population'!J12+'SC-Population'!M12)%</f>
        <v>85.479940730082049</v>
      </c>
      <c r="Z12" s="45">
        <f>EnrlSC!BJ12/('SC-Population'!E12+'SC-Population'!H12+'SC-Population'!K12+'SC-Population'!N12)%</f>
        <v>86.784092647307446</v>
      </c>
    </row>
    <row r="13" spans="1:62" s="35" customFormat="1" ht="18.75" customHeight="1">
      <c r="A13" s="25">
        <v>8</v>
      </c>
      <c r="B13" s="26" t="s">
        <v>22</v>
      </c>
      <c r="C13" s="45">
        <f>EnrlSC!U13/'SC-Population'!C13%</f>
        <v>113.93463686605665</v>
      </c>
      <c r="D13" s="45">
        <f>EnrlSC!V13/'SC-Population'!D13%</f>
        <v>118.55466753491612</v>
      </c>
      <c r="E13" s="45">
        <f>EnrlSC!W13/'SC-Population'!E13%</f>
        <v>116.06969770135456</v>
      </c>
      <c r="F13" s="45">
        <f>EnrlSC!AG13/'SC-Population'!F13%</f>
        <v>92.332936195561985</v>
      </c>
      <c r="G13" s="45">
        <f>EnrlSC!AH13/'SC-Population'!G13%</f>
        <v>101.33879713461347</v>
      </c>
      <c r="H13" s="45">
        <f>EnrlSC!AI13/'SC-Population'!H13%</f>
        <v>96.484800532067368</v>
      </c>
      <c r="I13" s="45">
        <f>EnrlSC!AJ13/('SC-Population'!C13+'SC-Population'!F13)%</f>
        <v>105.73700177420559</v>
      </c>
      <c r="J13" s="45">
        <f>EnrlSC!AK13/('SC-Population'!D13+'SC-Population'!G13)%</f>
        <v>112.03956239454618</v>
      </c>
      <c r="K13" s="45">
        <f>EnrlSC!AL13/('SC-Population'!E13+'SC-Population'!H13)%</f>
        <v>108.64695311294659</v>
      </c>
      <c r="L13" s="45">
        <f>EnrlSC!AS13/'SC-Population'!I13%</f>
        <v>75.530087749430095</v>
      </c>
      <c r="M13" s="45">
        <f>EnrlSC!AT13/'SC-Population'!J13%</f>
        <v>78.354919705919542</v>
      </c>
      <c r="N13" s="45">
        <f>EnrlSC!AU13/'SC-Population'!K13%</f>
        <v>76.839747079268037</v>
      </c>
      <c r="O13" s="45">
        <f>EnrlSC!AV13/('SC-Population'!C13+'SC-Population'!F13+'SC-Population'!I13)%</f>
        <v>99.531534421234113</v>
      </c>
      <c r="P13" s="45">
        <f>EnrlSC!AW13/('SC-Population'!D13+'SC-Population'!G13+'SC-Population'!J13)%</f>
        <v>105.07722148274954</v>
      </c>
      <c r="Q13" s="45">
        <f>EnrlSC!AX13/('SC-Population'!E13+'SC-Population'!H13+'SC-Population'!K13)%</f>
        <v>102.09421735139649</v>
      </c>
      <c r="R13" s="45">
        <f>EnrlSC!BE13/'SC-Population'!L13%</f>
        <v>49.823022406411511</v>
      </c>
      <c r="S13" s="45">
        <f>EnrlSC!BF13/'SC-Population'!M13%</f>
        <v>50.951959047056512</v>
      </c>
      <c r="T13" s="45">
        <f>EnrlSC!BG13/'SC-Population'!N13%</f>
        <v>50.331328371903354</v>
      </c>
      <c r="U13" s="45">
        <f>(EnrlSC!AS13+EnrlSC!BE13)/('SC-Population'!L13+'SC-Population'!I13)%</f>
        <v>62.883796937160625</v>
      </c>
      <c r="V13" s="45">
        <f>(EnrlSC!AT13+EnrlSC!BF13)/('SC-Population'!M13+'SC-Population'!J13)%</f>
        <v>65.243195885029536</v>
      </c>
      <c r="W13" s="45">
        <f>(EnrlSC!AU13+EnrlSC!BG13)/('SC-Population'!N13+'SC-Population'!K13)%</f>
        <v>63.962344186366991</v>
      </c>
      <c r="X13" s="45">
        <f>EnrlSC!BH13/('SC-Population'!C13+'SC-Population'!F13+'SC-Population'!I13+'SC-Population'!L13)%</f>
        <v>91.284352125337094</v>
      </c>
      <c r="Y13" s="45">
        <f>EnrlSC!BI13/('SC-Population'!D13+'SC-Population'!G13+'SC-Population'!J13+'SC-Population'!M13)%</f>
        <v>96.449414434277443</v>
      </c>
      <c r="Z13" s="45">
        <f>EnrlSC!BJ13/('SC-Population'!E13+'SC-Population'!H13+'SC-Population'!K13+'SC-Population'!N13)%</f>
        <v>93.661173932101335</v>
      </c>
    </row>
    <row r="14" spans="1:62" s="35" customFormat="1" ht="18.75" customHeight="1">
      <c r="A14" s="25">
        <v>9</v>
      </c>
      <c r="B14" s="26" t="s">
        <v>23</v>
      </c>
      <c r="C14" s="45">
        <f>EnrlSC!U14/'SC-Population'!C14%</f>
        <v>103.8528268714722</v>
      </c>
      <c r="D14" s="45">
        <f>EnrlSC!V14/'SC-Population'!D14%</f>
        <v>105.91592634870216</v>
      </c>
      <c r="E14" s="45">
        <f>EnrlSC!W14/'SC-Population'!E14%</f>
        <v>104.84819098244859</v>
      </c>
      <c r="F14" s="45">
        <f>EnrlSC!AG14/'SC-Population'!F14%</f>
        <v>104.77196025566093</v>
      </c>
      <c r="G14" s="45">
        <f>EnrlSC!AH14/'SC-Population'!G14%</f>
        <v>104.42944312676113</v>
      </c>
      <c r="H14" s="45">
        <f>EnrlSC!AI14/'SC-Population'!H14%</f>
        <v>104.60690840887779</v>
      </c>
      <c r="I14" s="45">
        <f>EnrlSC!AJ14/('SC-Population'!C14+'SC-Population'!F14)%</f>
        <v>104.20230115774758</v>
      </c>
      <c r="J14" s="45">
        <f>EnrlSC!AK14/('SC-Population'!D14+'SC-Population'!G14)%</f>
        <v>105.35154897055993</v>
      </c>
      <c r="K14" s="45">
        <f>EnrlSC!AL14/('SC-Population'!E14+'SC-Population'!H14)%</f>
        <v>104.75651399302205</v>
      </c>
      <c r="L14" s="45">
        <f>EnrlSC!AS14/'SC-Population'!I14%</f>
        <v>107.81227684309749</v>
      </c>
      <c r="M14" s="45">
        <f>EnrlSC!AT14/'SC-Population'!J14%</f>
        <v>105.48841134452515</v>
      </c>
      <c r="N14" s="45">
        <f>EnrlSC!AU14/'SC-Population'!K14%</f>
        <v>106.6815275415029</v>
      </c>
      <c r="O14" s="45">
        <f>EnrlSC!AV14/('SC-Population'!C14+'SC-Population'!F14+'SC-Population'!I14)%</f>
        <v>104.92653463530922</v>
      </c>
      <c r="P14" s="45">
        <f>EnrlSC!AW14/('SC-Population'!D14+'SC-Population'!G14+'SC-Population'!J14)%</f>
        <v>105.37938983715911</v>
      </c>
      <c r="Q14" s="45">
        <f>EnrlSC!AX14/('SC-Population'!E14+'SC-Population'!H14+'SC-Population'!K14)%</f>
        <v>105.14531646169522</v>
      </c>
      <c r="R14" s="45">
        <f>EnrlSC!BE14/'SC-Population'!L14%</f>
        <v>67.21349419899893</v>
      </c>
      <c r="S14" s="45">
        <f>EnrlSC!BF14/'SC-Population'!M14%</f>
        <v>66.598586017282017</v>
      </c>
      <c r="T14" s="45">
        <f>EnrlSC!BG14/'SC-Population'!N14%</f>
        <v>66.918720250647709</v>
      </c>
      <c r="U14" s="45">
        <f>(EnrlSC!AS14+EnrlSC!BE14)/('SC-Population'!L14+'SC-Population'!I14)%</f>
        <v>87.643017305812677</v>
      </c>
      <c r="V14" s="45">
        <f>(EnrlSC!AT14+EnrlSC!BF14)/('SC-Population'!M14+'SC-Population'!J14)%</f>
        <v>86.448526244538797</v>
      </c>
      <c r="W14" s="45">
        <f>(EnrlSC!AU14+EnrlSC!BG14)/('SC-Population'!N14+'SC-Population'!K14)%</f>
        <v>87.066044465580788</v>
      </c>
      <c r="X14" s="45">
        <f>EnrlSC!BH14/('SC-Population'!C14+'SC-Population'!F14+'SC-Population'!I14+'SC-Population'!L14)%</f>
        <v>98.691806932705774</v>
      </c>
      <c r="Y14" s="45">
        <f>EnrlSC!BI14/('SC-Population'!D14+'SC-Population'!G14+'SC-Population'!J14+'SC-Population'!M14)%</f>
        <v>99.04785845102576</v>
      </c>
      <c r="Z14" s="45">
        <f>EnrlSC!BJ14/('SC-Population'!E14+'SC-Population'!H14+'SC-Population'!K14+'SC-Population'!N14)%</f>
        <v>98.863602609926829</v>
      </c>
    </row>
    <row r="15" spans="1:62" s="35" customFormat="1" ht="18.75" customHeight="1">
      <c r="A15" s="25">
        <v>10</v>
      </c>
      <c r="B15" s="26" t="s">
        <v>24</v>
      </c>
      <c r="C15" s="45">
        <f>EnrlSC!U15/'SC-Population'!C15%</f>
        <v>96.499144235257518</v>
      </c>
      <c r="D15" s="45">
        <f>EnrlSC!V15/'SC-Population'!D15%</f>
        <v>97.087862318840578</v>
      </c>
      <c r="E15" s="45">
        <f>EnrlSC!W15/'SC-Population'!E15%</f>
        <v>96.771155938729393</v>
      </c>
      <c r="F15" s="45">
        <f>EnrlSC!AG15/'SC-Population'!F15%</f>
        <v>86.971787223465086</v>
      </c>
      <c r="G15" s="45">
        <f>EnrlSC!AH15/'SC-Population'!G15%</f>
        <v>88.961356026785708</v>
      </c>
      <c r="H15" s="45">
        <f>EnrlSC!AI15/'SC-Population'!H15%</f>
        <v>87.909162613382421</v>
      </c>
      <c r="I15" s="45">
        <f>EnrlSC!AJ15/('SC-Population'!C15+'SC-Population'!F15)%</f>
        <v>92.831339712918663</v>
      </c>
      <c r="J15" s="45">
        <f>EnrlSC!AK15/('SC-Population'!D15+'SC-Population'!G15)%</f>
        <v>93.888675307557108</v>
      </c>
      <c r="K15" s="45">
        <f>EnrlSC!AL15/('SC-Population'!E15+'SC-Population'!H15)%</f>
        <v>93.323616651324542</v>
      </c>
      <c r="L15" s="45">
        <f>EnrlSC!AS15/'SC-Population'!I15%</f>
        <v>58.998869843661701</v>
      </c>
      <c r="M15" s="45">
        <f>EnrlSC!AT15/'SC-Population'!J15%</f>
        <v>56.199694881371983</v>
      </c>
      <c r="N15" s="45">
        <f>EnrlSC!AU15/'SC-Population'!K15%</f>
        <v>57.67673002857498</v>
      </c>
      <c r="O15" s="45">
        <f>EnrlSC!AV15/('SC-Population'!C15+'SC-Population'!F15+'SC-Population'!I15)%</f>
        <v>85.978099126254349</v>
      </c>
      <c r="P15" s="45">
        <f>EnrlSC!AW15/('SC-Population'!D15+'SC-Population'!G15+'SC-Population'!J15)%</f>
        <v>86.087912805827472</v>
      </c>
      <c r="Q15" s="45">
        <f>EnrlSC!AX15/('SC-Population'!E15+'SC-Population'!H15+'SC-Population'!K15)%</f>
        <v>86.029378117420947</v>
      </c>
      <c r="R15" s="45">
        <f>EnrlSC!BE15/'SC-Population'!L15%</f>
        <v>34.054132853880169</v>
      </c>
      <c r="S15" s="45">
        <f>EnrlSC!BF15/'SC-Population'!M15%</f>
        <v>32.27908012695584</v>
      </c>
      <c r="T15" s="45">
        <f>EnrlSC!BG15/'SC-Population'!N15%</f>
        <v>33.226944833670665</v>
      </c>
      <c r="U15" s="45">
        <f>(EnrlSC!AS15+EnrlSC!BE15)/('SC-Population'!L15+'SC-Population'!I15)%</f>
        <v>46.722468013870625</v>
      </c>
      <c r="V15" s="45">
        <f>(EnrlSC!AT15+EnrlSC!BF15)/('SC-Population'!M15+'SC-Population'!J15)%</f>
        <v>44.579095433888767</v>
      </c>
      <c r="W15" s="45">
        <f>(EnrlSC!AU15+EnrlSC!BG15)/('SC-Population'!N15+'SC-Population'!K15)%</f>
        <v>45.716715535077363</v>
      </c>
      <c r="X15" s="45">
        <f>EnrlSC!BH15/('SC-Population'!C15+'SC-Population'!F15+'SC-Population'!I15+'SC-Population'!L15)%</f>
        <v>77.458039309492477</v>
      </c>
      <c r="Y15" s="45">
        <f>EnrlSC!BI15/('SC-Population'!D15+'SC-Population'!G15+'SC-Population'!J15+'SC-Population'!M15)%</f>
        <v>77.286885245901644</v>
      </c>
      <c r="Z15" s="45">
        <f>EnrlSC!BJ15/('SC-Population'!E15+'SC-Population'!H15+'SC-Population'!K15+'SC-Population'!N15)%</f>
        <v>77.378143400718486</v>
      </c>
    </row>
    <row r="16" spans="1:62" s="35" customFormat="1" ht="18.75" customHeight="1">
      <c r="A16" s="25">
        <v>11</v>
      </c>
      <c r="B16" s="26" t="s">
        <v>52</v>
      </c>
      <c r="C16" s="45">
        <f>EnrlSC!U16/'SC-Population'!C16%</f>
        <v>129.25528126621515</v>
      </c>
      <c r="D16" s="45">
        <f>EnrlSC!V16/'SC-Population'!D16%</f>
        <v>127.82812166133648</v>
      </c>
      <c r="E16" s="45">
        <f>EnrlSC!W16/'SC-Population'!E16%</f>
        <v>128.55323739023751</v>
      </c>
      <c r="F16" s="45">
        <f>EnrlSC!AG16/'SC-Population'!F16%</f>
        <v>82.743081671291861</v>
      </c>
      <c r="G16" s="45">
        <f>EnrlSC!AH16/'SC-Population'!G16%</f>
        <v>78.886780082128439</v>
      </c>
      <c r="H16" s="45">
        <f>EnrlSC!AI16/'SC-Population'!H16%</f>
        <v>80.875091517536262</v>
      </c>
      <c r="I16" s="45">
        <f>EnrlSC!AJ16/('SC-Population'!C16+'SC-Population'!F16)%</f>
        <v>113.28194063118612</v>
      </c>
      <c r="J16" s="45">
        <f>EnrlSC!AK16/('SC-Population'!D16+'SC-Population'!G16)%</f>
        <v>111.35100470286447</v>
      </c>
      <c r="K16" s="45">
        <f>EnrlSC!AL16/('SC-Population'!E16+'SC-Population'!H16)%</f>
        <v>112.33701776189442</v>
      </c>
      <c r="L16" s="45">
        <f>EnrlSC!AS16/'SC-Population'!I16%</f>
        <v>43.694885361552032</v>
      </c>
      <c r="M16" s="45">
        <f>EnrlSC!AT16/'SC-Population'!J16%</f>
        <v>41.149218641958235</v>
      </c>
      <c r="N16" s="45">
        <f>EnrlSC!AU16/'SC-Population'!K16%</f>
        <v>42.510880984541494</v>
      </c>
      <c r="O16" s="45">
        <f>EnrlSC!AV16/('SC-Population'!C16+'SC-Population'!F16+'SC-Population'!I16)%</f>
        <v>100.63037113556076</v>
      </c>
      <c r="P16" s="45">
        <f>EnrlSC!AW16/('SC-Population'!D16+'SC-Population'!G16+'SC-Population'!J16)%</f>
        <v>99.571882710558683</v>
      </c>
      <c r="Q16" s="45">
        <f>EnrlSC!AX16/('SC-Population'!E16+'SC-Population'!H16+'SC-Population'!K16)%</f>
        <v>100.11688215445892</v>
      </c>
      <c r="R16" s="45">
        <f>EnrlSC!BE16/'SC-Population'!L16%</f>
        <v>13.172119487908962</v>
      </c>
      <c r="S16" s="45">
        <f>EnrlSC!BF16/'SC-Population'!M16%</f>
        <v>16.002609475658485</v>
      </c>
      <c r="T16" s="45">
        <f>EnrlSC!BG16/'SC-Population'!N16%</f>
        <v>14.423888347938981</v>
      </c>
      <c r="U16" s="45">
        <f>(EnrlSC!AS16+EnrlSC!BE16)/('SC-Population'!L16+'SC-Population'!I16)%</f>
        <v>30.368898273506396</v>
      </c>
      <c r="V16" s="45">
        <f>(EnrlSC!AT16+EnrlSC!BF16)/('SC-Population'!M16+'SC-Population'!J16)%</f>
        <v>30.737336835778969</v>
      </c>
      <c r="W16" s="45">
        <f>(EnrlSC!AU16+EnrlSC!BG16)/('SC-Population'!N16+'SC-Population'!K16)%</f>
        <v>30.536670264353077</v>
      </c>
      <c r="X16" s="45">
        <f>EnrlSC!BH16/('SC-Population'!C16+'SC-Population'!F16+'SC-Population'!I16+'SC-Population'!L16)%</f>
        <v>89.830297358885872</v>
      </c>
      <c r="Y16" s="45">
        <f>EnrlSC!BI16/('SC-Population'!D16+'SC-Population'!G16+'SC-Population'!J16+'SC-Population'!M16)%</f>
        <v>90.713839951734158</v>
      </c>
      <c r="Z16" s="45">
        <f>EnrlSC!BJ16/('SC-Population'!E16+'SC-Population'!H16+'SC-Population'!K16+'SC-Population'!N16)%</f>
        <v>90.254558072045924</v>
      </c>
    </row>
    <row r="17" spans="1:26" s="35" customFormat="1" ht="18.75" customHeight="1">
      <c r="A17" s="25">
        <v>12</v>
      </c>
      <c r="B17" s="26" t="s">
        <v>25</v>
      </c>
      <c r="C17" s="45">
        <f>EnrlSC!V17/'SC-Population'!C17%</f>
        <v>96.925021460610068</v>
      </c>
      <c r="D17" s="45">
        <f>EnrlSC!V17/'SC-Population'!D17%</f>
        <v>100.81760411246196</v>
      </c>
      <c r="E17" s="45">
        <f>EnrlSC!W17/'SC-Population'!E17%</f>
        <v>102.53785576886847</v>
      </c>
      <c r="F17" s="45">
        <f>EnrlSC!AG17/'SC-Population'!F17%</f>
        <v>88.795307111679165</v>
      </c>
      <c r="G17" s="45">
        <f>EnrlSC!AH17/'SC-Population'!G17%</f>
        <v>83.885898781991244</v>
      </c>
      <c r="H17" s="45">
        <f>EnrlSC!AI17/'SC-Population'!H17%</f>
        <v>86.395753999503768</v>
      </c>
      <c r="I17" s="45">
        <f>EnrlSC!AJ17/('SC-Population'!C17+'SC-Population'!F17)%</f>
        <v>98.248873985248665</v>
      </c>
      <c r="J17" s="45">
        <f>EnrlSC!AK17/('SC-Population'!D17+'SC-Population'!G17)%</f>
        <v>94.304499856275314</v>
      </c>
      <c r="K17" s="45">
        <f>EnrlSC!AL17/('SC-Population'!E17+'SC-Population'!H17)%</f>
        <v>96.317624143378026</v>
      </c>
      <c r="L17" s="45">
        <f>EnrlSC!AS17/'SC-Population'!I17%</f>
        <v>65.835725393001979</v>
      </c>
      <c r="M17" s="45">
        <f>EnrlSC!AT17/'SC-Population'!J17%</f>
        <v>65.709124106983282</v>
      </c>
      <c r="N17" s="45">
        <f>EnrlSC!AU17/'SC-Population'!K17%</f>
        <v>65.77569502659172</v>
      </c>
      <c r="O17" s="45">
        <f>EnrlSC!AV17/('SC-Population'!C17+'SC-Population'!F17+'SC-Population'!I17)%</f>
        <v>91.415815600362151</v>
      </c>
      <c r="P17" s="45">
        <f>EnrlSC!AW17/('SC-Population'!D17+'SC-Population'!G17+'SC-Population'!J17)%</f>
        <v>88.565470627697493</v>
      </c>
      <c r="Q17" s="45">
        <f>EnrlSC!AX17/('SC-Population'!E17+'SC-Population'!H17+'SC-Population'!K17)%</f>
        <v>90.029294397375779</v>
      </c>
      <c r="R17" s="45">
        <f>EnrlSC!BE17/'SC-Population'!L17%</f>
        <v>38.826174615120181</v>
      </c>
      <c r="S17" s="45">
        <f>EnrlSC!BF17/'SC-Population'!M17%</f>
        <v>39.812929297192355</v>
      </c>
      <c r="T17" s="45">
        <f>EnrlSC!BG17/'SC-Population'!N17%</f>
        <v>39.288219833208174</v>
      </c>
      <c r="U17" s="45">
        <f>(EnrlSC!AS17+EnrlSC!BE17)/('SC-Population'!L17+'SC-Population'!I17)%</f>
        <v>52.765594897952305</v>
      </c>
      <c r="V17" s="45">
        <f>(EnrlSC!AT17+EnrlSC!BF17)/('SC-Population'!M17+'SC-Population'!J17)%</f>
        <v>53.331383312698414</v>
      </c>
      <c r="W17" s="45">
        <f>(EnrlSC!AU17+EnrlSC!BG17)/('SC-Population'!N17+'SC-Population'!K17)%</f>
        <v>53.032262204992044</v>
      </c>
      <c r="X17" s="45">
        <f>EnrlSC!BH17/('SC-Population'!C17+'SC-Population'!F17+'SC-Population'!I17+'SC-Population'!L17)%</f>
        <v>82.736328172918874</v>
      </c>
      <c r="Y17" s="45">
        <f>EnrlSC!BI17/('SC-Population'!D17+'SC-Population'!G17+'SC-Population'!J17+'SC-Population'!M17)%</f>
        <v>80.997322020850561</v>
      </c>
      <c r="Z17" s="45">
        <f>EnrlSC!BJ17/('SC-Population'!E17+'SC-Population'!H17+'SC-Population'!K17+'SC-Population'!N17)%</f>
        <v>81.895477789683682</v>
      </c>
    </row>
    <row r="18" spans="1:26" s="35" customFormat="1" ht="18.75" customHeight="1">
      <c r="A18" s="25">
        <v>13</v>
      </c>
      <c r="B18" s="26" t="s">
        <v>26</v>
      </c>
      <c r="C18" s="45">
        <f>EnrlSC!U18/'SC-Population'!C18%</f>
        <v>98.630391014093462</v>
      </c>
      <c r="D18" s="45">
        <f>EnrlSC!V18/'SC-Population'!D18%</f>
        <v>96.689986521551759</v>
      </c>
      <c r="E18" s="45">
        <f>EnrlSC!W18/'SC-Population'!E18%</f>
        <v>97.678435676789292</v>
      </c>
      <c r="F18" s="45">
        <f>EnrlSC!AG18/'SC-Population'!F18%</f>
        <v>109.26598508446534</v>
      </c>
      <c r="G18" s="45">
        <f>EnrlSC!AH18/'SC-Population'!G18%</f>
        <v>104.76914998182282</v>
      </c>
      <c r="H18" s="45">
        <f>EnrlSC!AI18/'SC-Population'!H18%</f>
        <v>107.06353288753478</v>
      </c>
      <c r="I18" s="45">
        <f>EnrlSC!AJ18/('SC-Population'!C18+'SC-Population'!F18)%</f>
        <v>102.94733307801671</v>
      </c>
      <c r="J18" s="45">
        <f>EnrlSC!AK18/('SC-Population'!D18+'SC-Population'!G18)%</f>
        <v>99.962908821155068</v>
      </c>
      <c r="K18" s="45">
        <f>EnrlSC!AL18/('SC-Population'!E18+'SC-Population'!H18)%</f>
        <v>101.4841754803514</v>
      </c>
      <c r="L18" s="45">
        <f>EnrlSC!AS18/'SC-Population'!I18%</f>
        <v>110.264657414577</v>
      </c>
      <c r="M18" s="45">
        <f>EnrlSC!AT18/'SC-Population'!J18%</f>
        <v>109.99958369759793</v>
      </c>
      <c r="N18" s="45">
        <f>EnrlSC!AU18/'SC-Population'!K18%</f>
        <v>110.13525185704559</v>
      </c>
      <c r="O18" s="45">
        <f>EnrlSC!AV18/('SC-Population'!C18+'SC-Population'!F18+'SC-Population'!I18)%</f>
        <v>104.47672005975599</v>
      </c>
      <c r="P18" s="45">
        <f>EnrlSC!AW18/('SC-Population'!D18+'SC-Population'!G18+'SC-Population'!J18)%</f>
        <v>102.04690241773061</v>
      </c>
      <c r="Q18" s="45">
        <f>EnrlSC!AX18/('SC-Population'!E18+'SC-Population'!H18+'SC-Population'!K18)%</f>
        <v>103.28651816222579</v>
      </c>
      <c r="R18" s="45">
        <f>EnrlSC!BE18/'SC-Population'!L18%</f>
        <v>69.693989315331834</v>
      </c>
      <c r="S18" s="45">
        <f>EnrlSC!BF18/'SC-Population'!M18%</f>
        <v>81.588497090037663</v>
      </c>
      <c r="T18" s="45">
        <f>EnrlSC!BG18/'SC-Population'!N18%</f>
        <v>75.579320625169387</v>
      </c>
      <c r="U18" s="45">
        <f>(EnrlSC!AS18+EnrlSC!BE18)/('SC-Population'!L18+'SC-Population'!I18)%</f>
        <v>91.180181695827727</v>
      </c>
      <c r="V18" s="45">
        <f>(EnrlSC!AT18+EnrlSC!BF18)/('SC-Population'!M18+'SC-Population'!J18)%</f>
        <v>96.447739421056639</v>
      </c>
      <c r="W18" s="45">
        <f>(EnrlSC!AU18+EnrlSC!BG18)/('SC-Population'!N18+'SC-Population'!K18)%</f>
        <v>93.768219040334614</v>
      </c>
      <c r="X18" s="45">
        <f>EnrlSC!BH18/('SC-Population'!C18+'SC-Population'!F18+'SC-Population'!I18+'SC-Population'!L18)%</f>
        <v>99.030509210162506</v>
      </c>
      <c r="Y18" s="45">
        <f>EnrlSC!BI18/('SC-Population'!D18+'SC-Population'!G18+'SC-Population'!J18+'SC-Population'!M18)%</f>
        <v>98.789559175693796</v>
      </c>
      <c r="Z18" s="45">
        <f>EnrlSC!BJ18/('SC-Population'!E18+'SC-Population'!H18+'SC-Population'!K18+'SC-Population'!N18)%</f>
        <v>98.912295464837243</v>
      </c>
    </row>
    <row r="19" spans="1:26" s="35" customFormat="1" ht="18.75" customHeight="1">
      <c r="A19" s="25">
        <v>14</v>
      </c>
      <c r="B19" s="26" t="s">
        <v>27</v>
      </c>
      <c r="C19" s="45">
        <f>EnrlSC!U19/'SC-Population'!C19%</f>
        <v>125.29845529681054</v>
      </c>
      <c r="D19" s="45">
        <f>EnrlSC!V19/'SC-Population'!D19%</f>
        <v>131.80544289573365</v>
      </c>
      <c r="E19" s="45">
        <f>EnrlSC!W19/'SC-Population'!E19%</f>
        <v>128.41798819101305</v>
      </c>
      <c r="F19" s="45">
        <f>EnrlSC!AG19/'SC-Population'!F19%</f>
        <v>99.585771628621885</v>
      </c>
      <c r="G19" s="45">
        <f>EnrlSC!AH19/'SC-Population'!G19%</f>
        <v>107.97286494370253</v>
      </c>
      <c r="H19" s="45">
        <f>EnrlSC!AI19/'SC-Population'!H19%</f>
        <v>103.62881890334505</v>
      </c>
      <c r="I19" s="45">
        <f>EnrlSC!AJ19/('SC-Population'!C19+'SC-Population'!F19)%</f>
        <v>115.78113143043618</v>
      </c>
      <c r="J19" s="45">
        <f>EnrlSC!AK19/('SC-Population'!D19+'SC-Population'!G19)%</f>
        <v>122.92511340652855</v>
      </c>
      <c r="K19" s="45">
        <f>EnrlSC!AL19/('SC-Population'!E19+'SC-Population'!H19)%</f>
        <v>119.21305901272392</v>
      </c>
      <c r="L19" s="45">
        <f>EnrlSC!AS19/'SC-Population'!I19%</f>
        <v>98.245301187631512</v>
      </c>
      <c r="M19" s="45">
        <f>EnrlSC!AT19/'SC-Population'!J19%</f>
        <v>73.575426487982739</v>
      </c>
      <c r="N19" s="45">
        <f>EnrlSC!AU19/'SC-Population'!K19%</f>
        <v>86.715703129303918</v>
      </c>
      <c r="O19" s="45">
        <f>EnrlSC!AV19/('SC-Population'!C19+'SC-Population'!F19+'SC-Population'!I19)%</f>
        <v>112.36362094598773</v>
      </c>
      <c r="P19" s="45">
        <f>EnrlSC!AW19/('SC-Population'!D19+'SC-Population'!G19+'SC-Population'!J19)%</f>
        <v>113.70601854136879</v>
      </c>
      <c r="Q19" s="45">
        <f>EnrlSC!AX19/('SC-Population'!E19+'SC-Population'!H19+'SC-Population'!K19)%</f>
        <v>113.00515735521884</v>
      </c>
      <c r="R19" s="45">
        <f>EnrlSC!BE19/'SC-Population'!L19%</f>
        <v>63.703307797375146</v>
      </c>
      <c r="S19" s="45">
        <f>EnrlSC!BF19/'SC-Population'!M19%</f>
        <v>56.099699641507613</v>
      </c>
      <c r="T19" s="45">
        <f>EnrlSC!BG19/'SC-Population'!N19%</f>
        <v>60.283874903323493</v>
      </c>
      <c r="U19" s="45">
        <f>(EnrlSC!AS19+EnrlSC!BE19)/('SC-Population'!L19+'SC-Population'!I19)%</f>
        <v>81.875322482292788</v>
      </c>
      <c r="V19" s="45">
        <f>(EnrlSC!AT19+EnrlSC!BF19)/('SC-Population'!M19+'SC-Population'!J19)%</f>
        <v>65.60236583333517</v>
      </c>
      <c r="W19" s="45">
        <f>(EnrlSC!AU19+EnrlSC!BG19)/('SC-Population'!N19+'SC-Population'!K19)%</f>
        <v>74.403805093483356</v>
      </c>
      <c r="X19" s="45">
        <f>EnrlSC!BH19/('SC-Population'!C19+'SC-Population'!F19+'SC-Population'!I19+'SC-Population'!L19)%</f>
        <v>105.09656988589937</v>
      </c>
      <c r="Y19" s="45">
        <f>EnrlSC!BI19/('SC-Population'!D19+'SC-Population'!G19+'SC-Population'!J19+'SC-Population'!M19)%</f>
        <v>105.90021971068036</v>
      </c>
      <c r="Z19" s="45">
        <f>EnrlSC!BJ19/('SC-Population'!E19+'SC-Population'!H19+'SC-Population'!K19+'SC-Population'!N19)%</f>
        <v>105.47740195683491</v>
      </c>
    </row>
    <row r="20" spans="1:26" s="35" customFormat="1" ht="18.75" customHeight="1">
      <c r="A20" s="25">
        <v>15</v>
      </c>
      <c r="B20" s="26" t="s">
        <v>28</v>
      </c>
      <c r="C20" s="45">
        <f>EnrlSC!U20/'SC-Population'!C20%</f>
        <v>117.23668517119287</v>
      </c>
      <c r="D20" s="45">
        <f>EnrlSC!V20/'SC-Population'!D20%</f>
        <v>116.35749605189793</v>
      </c>
      <c r="E20" s="45">
        <f>EnrlSC!W20/'SC-Population'!E20%</f>
        <v>116.81182265691932</v>
      </c>
      <c r="F20" s="45">
        <f>EnrlSC!AG20/'SC-Population'!F20%</f>
        <v>108.84902663657329</v>
      </c>
      <c r="G20" s="45">
        <f>EnrlSC!AH20/'SC-Population'!G20%</f>
        <v>105.65818366306155</v>
      </c>
      <c r="H20" s="45">
        <f>EnrlSC!AI20/'SC-Population'!H20%</f>
        <v>107.31109036561182</v>
      </c>
      <c r="I20" s="45">
        <f>EnrlSC!AJ20/('SC-Population'!C20+'SC-Population'!F20)%</f>
        <v>113.97921126556147</v>
      </c>
      <c r="J20" s="45">
        <f>EnrlSC!AK20/('SC-Population'!D20+'SC-Population'!G20)%</f>
        <v>112.21506652412107</v>
      </c>
      <c r="K20" s="45">
        <f>EnrlSC!AL20/('SC-Population'!E20+'SC-Population'!H20)%</f>
        <v>113.12756110221295</v>
      </c>
      <c r="L20" s="45">
        <f>EnrlSC!AS20/'SC-Population'!I20%</f>
        <v>92.296212433100038</v>
      </c>
      <c r="M20" s="45">
        <f>EnrlSC!AT20/'SC-Population'!J20%</f>
        <v>85.505303530421884</v>
      </c>
      <c r="N20" s="45">
        <f>EnrlSC!AU20/'SC-Population'!K20%</f>
        <v>89.065224805813173</v>
      </c>
      <c r="O20" s="45">
        <f>EnrlSC!AV20/('SC-Population'!C20+'SC-Population'!F20+'SC-Population'!I20)%</f>
        <v>109.50819572727701</v>
      </c>
      <c r="P20" s="45">
        <f>EnrlSC!AW20/('SC-Population'!D20+'SC-Population'!G20+'SC-Population'!J20)%</f>
        <v>106.82870294746058</v>
      </c>
      <c r="Q20" s="45">
        <f>EnrlSC!AX20/('SC-Population'!E20+'SC-Population'!H20+'SC-Population'!K20)%</f>
        <v>108.21846884211404</v>
      </c>
      <c r="R20" s="45">
        <f>EnrlSC!BE20/'SC-Population'!L20%</f>
        <v>71.633658448644411</v>
      </c>
      <c r="S20" s="45">
        <f>EnrlSC!BF20/'SC-Population'!M20%</f>
        <v>64.838784385373515</v>
      </c>
      <c r="T20" s="45">
        <f>EnrlSC!BG20/'SC-Population'!N20%</f>
        <v>68.496159154954682</v>
      </c>
      <c r="U20" s="45">
        <f>(EnrlSC!AS20+EnrlSC!BE20)/('SC-Population'!L20+'SC-Population'!I20)%</f>
        <v>81.969627598837178</v>
      </c>
      <c r="V20" s="45">
        <f>(EnrlSC!AT20+EnrlSC!BF20)/('SC-Population'!M20+'SC-Population'!J20)%</f>
        <v>75.467893692053565</v>
      </c>
      <c r="W20" s="45">
        <f>(EnrlSC!AU20+EnrlSC!BG20)/('SC-Population'!N20+'SC-Population'!K20)%</f>
        <v>78.92123063580766</v>
      </c>
      <c r="X20" s="45">
        <f>EnrlSC!BH20/('SC-Population'!C20+'SC-Population'!F20+'SC-Population'!I20+'SC-Population'!L20)%</f>
        <v>103.03843705201342</v>
      </c>
      <c r="Y20" s="45">
        <f>EnrlSC!BI20/('SC-Population'!D20+'SC-Population'!G20+'SC-Population'!J20+'SC-Population'!M20)%</f>
        <v>100.11148906858259</v>
      </c>
      <c r="Z20" s="45">
        <f>EnrlSC!BJ20/('SC-Population'!E20+'SC-Population'!H20+'SC-Population'!K20+'SC-Population'!N20)%</f>
        <v>101.63909798605236</v>
      </c>
    </row>
    <row r="21" spans="1:26" s="35" customFormat="1" ht="18.75" customHeight="1">
      <c r="A21" s="25">
        <v>16</v>
      </c>
      <c r="B21" s="26" t="s">
        <v>29</v>
      </c>
      <c r="C21" s="45">
        <f>EnrlSC!U21/'SC-Population'!C21%</f>
        <v>130.67729083665338</v>
      </c>
      <c r="D21" s="45">
        <f>EnrlSC!V21/'SC-Population'!D21%</f>
        <v>136.20190318576746</v>
      </c>
      <c r="E21" s="45">
        <f>EnrlSC!W21/'SC-Population'!E21%</f>
        <v>133.38745687030647</v>
      </c>
      <c r="F21" s="45">
        <f>EnrlSC!AG21/'SC-Population'!F21%</f>
        <v>92.759880438392557</v>
      </c>
      <c r="G21" s="45">
        <f>EnrlSC!AH21/'SC-Population'!G21%</f>
        <v>105.62109646079112</v>
      </c>
      <c r="H21" s="45">
        <f>EnrlSC!AI21/'SC-Population'!H21%</f>
        <v>99.049720006787709</v>
      </c>
      <c r="I21" s="45">
        <f>EnrlSC!AJ21/('SC-Population'!C21+'SC-Population'!F21)%</f>
        <v>116.46121280039846</v>
      </c>
      <c r="J21" s="45">
        <f>EnrlSC!AK21/('SC-Population'!D21+'SC-Population'!G21)%</f>
        <v>124.77967858994298</v>
      </c>
      <c r="K21" s="45">
        <f>EnrlSC!AL21/('SC-Population'!E21+'SC-Population'!H21)%</f>
        <v>120.53724518955991</v>
      </c>
      <c r="L21" s="45">
        <f>EnrlSC!AS21/'SC-Population'!I21%</f>
        <v>68.355739400206829</v>
      </c>
      <c r="M21" s="45">
        <f>EnrlSC!AT21/'SC-Population'!J21%</f>
        <v>64.930182599355533</v>
      </c>
      <c r="N21" s="45">
        <f>EnrlSC!AU21/'SC-Population'!K21%</f>
        <v>66.675447839831406</v>
      </c>
      <c r="O21" s="45">
        <f>EnrlSC!AV21/('SC-Population'!C21+'SC-Population'!F21+'SC-Population'!I21)%</f>
        <v>107.12493728048167</v>
      </c>
      <c r="P21" s="45">
        <f>EnrlSC!AW21/('SC-Population'!D21+'SC-Population'!G21+'SC-Population'!J21)%</f>
        <v>113.14470661933598</v>
      </c>
      <c r="Q21" s="45">
        <f>EnrlSC!AX21/('SC-Population'!E21+'SC-Population'!H21+'SC-Population'!K21)%</f>
        <v>110.07521874840096</v>
      </c>
      <c r="R21" s="45">
        <f>EnrlSC!BE21/'SC-Population'!L21%</f>
        <v>37.364043506078055</v>
      </c>
      <c r="S21" s="45">
        <f>EnrlSC!BF21/'SC-Population'!M21%</f>
        <v>38.050734312416552</v>
      </c>
      <c r="T21" s="45">
        <f>EnrlSC!BG21/'SC-Population'!N21%</f>
        <v>37.700098007187194</v>
      </c>
      <c r="U21" s="45">
        <f>(EnrlSC!AS21+EnrlSC!BE21)/('SC-Population'!L21+'SC-Population'!I21)%</f>
        <v>54.503860451815846</v>
      </c>
      <c r="V21" s="45">
        <f>(EnrlSC!AT21+EnrlSC!BF21)/('SC-Population'!M21+'SC-Population'!J21)%</f>
        <v>52.946428571428569</v>
      </c>
      <c r="W21" s="45">
        <f>(EnrlSC!AU21+EnrlSC!BG21)/('SC-Population'!N21+'SC-Population'!K21)%</f>
        <v>53.740702931311077</v>
      </c>
      <c r="X21" s="45">
        <f>EnrlSC!BH21/('SC-Population'!C21+'SC-Population'!F21+'SC-Population'!I21+'SC-Population'!L21)%</f>
        <v>97.666551006245655</v>
      </c>
      <c r="Y21" s="45">
        <f>EnrlSC!BI21/('SC-Population'!D21+'SC-Population'!G21+'SC-Population'!J21+'SC-Population'!M21)%</f>
        <v>102.98844348140122</v>
      </c>
      <c r="Z21" s="45">
        <f>EnrlSC!BJ21/('SC-Population'!E21+'SC-Population'!H21+'SC-Population'!K21+'SC-Population'!N21)%</f>
        <v>100.27428773668377</v>
      </c>
    </row>
    <row r="22" spans="1:26" s="35" customFormat="1" ht="18.75" customHeight="1">
      <c r="A22" s="25">
        <v>17</v>
      </c>
      <c r="B22" s="26" t="s">
        <v>30</v>
      </c>
      <c r="C22" s="45">
        <f>EnrlSC!U22/'SC-Population'!C22%</f>
        <v>290.48562933597623</v>
      </c>
      <c r="D22" s="45">
        <f>EnrlSC!V22/'SC-Population'!D22%</f>
        <v>302.30769230769232</v>
      </c>
      <c r="E22" s="45">
        <f>EnrlSC!W22/'SC-Population'!E22%</f>
        <v>296.09171443460133</v>
      </c>
      <c r="F22" s="45">
        <f>EnrlSC!AG22/'SC-Population'!F22%</f>
        <v>182.09677419354838</v>
      </c>
      <c r="G22" s="45">
        <f>EnrlSC!AH22/'SC-Population'!G22%</f>
        <v>184</v>
      </c>
      <c r="H22" s="45">
        <f>EnrlSC!AI22/'SC-Population'!H22%</f>
        <v>183.03278688524591</v>
      </c>
      <c r="I22" s="45">
        <f>EnrlSC!AJ22/('SC-Population'!C22+'SC-Population'!F22)%</f>
        <v>249.23265807243709</v>
      </c>
      <c r="J22" s="45">
        <f>EnrlSC!AK22/('SC-Population'!D22+'SC-Population'!G22)%</f>
        <v>255.29801324503313</v>
      </c>
      <c r="K22" s="45">
        <f>EnrlSC!AL22/('SC-Population'!E22+'SC-Population'!H22)%</f>
        <v>252.15036635871297</v>
      </c>
      <c r="L22" s="45">
        <f>EnrlSC!AS22/'SC-Population'!I22%</f>
        <v>199.23076923076923</v>
      </c>
      <c r="M22" s="45">
        <f>EnrlSC!AT22/'SC-Population'!J22%</f>
        <v>197.39884393063585</v>
      </c>
      <c r="N22" s="45">
        <f>EnrlSC!AU22/'SC-Population'!K22%</f>
        <v>198.36956521739128</v>
      </c>
      <c r="O22" s="45">
        <f>EnrlSC!AV22/('SC-Population'!C22+'SC-Population'!F22+'SC-Population'!I22)%</f>
        <v>239.57404655770182</v>
      </c>
      <c r="P22" s="45">
        <f>EnrlSC!AW22/('SC-Population'!D22+'SC-Population'!G22+'SC-Population'!J22)%</f>
        <v>244.50431034482762</v>
      </c>
      <c r="Q22" s="45">
        <f>EnrlSC!AX22/('SC-Population'!E22+'SC-Population'!H22+'SC-Population'!K22)%</f>
        <v>241.93548387096774</v>
      </c>
      <c r="R22" s="45">
        <f>EnrlSC!BE22/'SC-Population'!L22%</f>
        <v>23.880597014925375</v>
      </c>
      <c r="S22" s="45">
        <f>EnrlSC!BF22/'SC-Population'!M22%</f>
        <v>27.01949860724234</v>
      </c>
      <c r="T22" s="45">
        <f>EnrlSC!BG22/'SC-Population'!N22%</f>
        <v>25.361366622864651</v>
      </c>
      <c r="U22" s="45">
        <f>(EnrlSC!AS22+EnrlSC!BE22)/('SC-Population'!L22+'SC-Population'!I22)%</f>
        <v>110.22727272727273</v>
      </c>
      <c r="V22" s="45">
        <f>(EnrlSC!AT22+EnrlSC!BF22)/('SC-Population'!M22+'SC-Population'!J22)%</f>
        <v>110.63829787234043</v>
      </c>
      <c r="W22" s="45">
        <f>(EnrlSC!AU22+EnrlSC!BG22)/('SC-Population'!N22+'SC-Population'!K22)%</f>
        <v>110.42084168336673</v>
      </c>
      <c r="X22" s="45">
        <f>EnrlSC!BH22/('SC-Population'!C22+'SC-Population'!F22+'SC-Population'!I22+'SC-Population'!L22)%</f>
        <v>203.75877736472532</v>
      </c>
      <c r="Y22" s="45">
        <f>EnrlSC!BI22/('SC-Population'!D22+'SC-Population'!G22+'SC-Population'!J22+'SC-Population'!M22)%</f>
        <v>209.25507900677204</v>
      </c>
      <c r="Z22" s="45">
        <f>EnrlSC!BJ22/('SC-Population'!E22+'SC-Population'!H22+'SC-Population'!K22+'SC-Population'!N22)%</f>
        <v>206.38481449525455</v>
      </c>
    </row>
    <row r="23" spans="1:26" s="35" customFormat="1" ht="18.75" customHeight="1">
      <c r="A23" s="25">
        <v>18</v>
      </c>
      <c r="B23" s="26" t="s">
        <v>31</v>
      </c>
      <c r="C23" s="45">
        <f>EnrlSC!U23/'SC-Population'!C23%</f>
        <v>494.91525423728814</v>
      </c>
      <c r="D23" s="45">
        <f>EnrlSC!V23/'SC-Population'!D23%</f>
        <v>451.85185185185185</v>
      </c>
      <c r="E23" s="45">
        <f>EnrlSC!W23/'SC-Population'!E23%</f>
        <v>474.33628318584073</v>
      </c>
      <c r="F23" s="45">
        <f>EnrlSC!AG23/'SC-Population'!F23%</f>
        <v>331.42857142857144</v>
      </c>
      <c r="G23" s="45">
        <f>EnrlSC!AH23/'SC-Population'!G23%</f>
        <v>308</v>
      </c>
      <c r="H23" s="45">
        <f>EnrlSC!AI23/'SC-Population'!H23%</f>
        <v>321.66666666666669</v>
      </c>
      <c r="I23" s="45">
        <f>EnrlSC!AJ23/('SC-Population'!C23+'SC-Population'!F23)%</f>
        <v>434.04255319148939</v>
      </c>
      <c r="J23" s="45">
        <f>EnrlSC!AK23/('SC-Population'!D23+'SC-Population'!G23)%</f>
        <v>406.3291139240506</v>
      </c>
      <c r="K23" s="45">
        <f>EnrlSC!AL23/('SC-Population'!E23+'SC-Population'!H23)%</f>
        <v>421.38728323699422</v>
      </c>
      <c r="L23" s="45">
        <f>EnrlSC!AS23/'SC-Population'!I23%</f>
        <v>563.63636363636363</v>
      </c>
      <c r="M23" s="45">
        <f>EnrlSC!AT23/'SC-Population'!J23%</f>
        <v>240</v>
      </c>
      <c r="N23" s="45">
        <f>EnrlSC!AU23/'SC-Population'!K23%</f>
        <v>354.83870967741933</v>
      </c>
      <c r="O23" s="45">
        <f>EnrlSC!AV23/('SC-Population'!C23+'SC-Population'!F23+'SC-Population'!I23)%</f>
        <v>447.61904761904759</v>
      </c>
      <c r="P23" s="45">
        <f>EnrlSC!AW23/('SC-Population'!D23+'SC-Population'!G23+'SC-Population'!J23)%</f>
        <v>372.72727272727275</v>
      </c>
      <c r="Q23" s="45">
        <f>EnrlSC!AX23/('SC-Population'!E23+'SC-Population'!H23+'SC-Population'!K23)%</f>
        <v>411.27450980392155</v>
      </c>
      <c r="R23" s="45">
        <f>EnrlSC!BE23/'SC-Population'!L23%</f>
        <v>266.66666666666669</v>
      </c>
      <c r="S23" s="45">
        <f>EnrlSC!BF23/'SC-Population'!M23%</f>
        <v>160</v>
      </c>
      <c r="T23" s="45">
        <f>EnrlSC!BG23/'SC-Population'!N23%</f>
        <v>218.18181818181816</v>
      </c>
      <c r="U23" s="45">
        <f>(EnrlSC!AS23+EnrlSC!BE23)/('SC-Population'!L23+'SC-Population'!I23)%</f>
        <v>379.31034482758622</v>
      </c>
      <c r="V23" s="45">
        <f>(EnrlSC!AT23+EnrlSC!BF23)/('SC-Population'!M23+'SC-Population'!J23)%</f>
        <v>205.71428571428572</v>
      </c>
      <c r="W23" s="45">
        <f>(EnrlSC!AU23+EnrlSC!BG23)/('SC-Population'!N23+'SC-Population'!K23)%</f>
        <v>284.375</v>
      </c>
      <c r="X23" s="45">
        <f>EnrlSC!BH23/('SC-Population'!C23+'SC-Population'!F23+'SC-Population'!I23+'SC-Population'!L23)%</f>
        <v>421.13821138211381</v>
      </c>
      <c r="Y23" s="45">
        <f>EnrlSC!BI23/('SC-Population'!D23+'SC-Population'!G23+'SC-Population'!J23+'SC-Population'!M23)%</f>
        <v>344.73684210526318</v>
      </c>
      <c r="Z23" s="45">
        <f>EnrlSC!BJ23/('SC-Population'!E23+'SC-Population'!H23+'SC-Population'!K23+'SC-Population'!N23)%</f>
        <v>384.3881856540084</v>
      </c>
    </row>
    <row r="24" spans="1:26" s="35" customFormat="1" ht="18.75" customHeight="1">
      <c r="A24" s="25">
        <v>19</v>
      </c>
      <c r="B24" s="26" t="s">
        <v>54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s="35" customFormat="1" ht="18.75" customHeight="1">
      <c r="A25" s="25">
        <v>20</v>
      </c>
      <c r="B25" s="2" t="s">
        <v>55</v>
      </c>
      <c r="C25" s="45">
        <f>EnrlSC!U25/'SC-Population'!C25%</f>
        <v>114.52949154537356</v>
      </c>
      <c r="D25" s="45">
        <f>EnrlSC!V25/'SC-Population'!D25%</f>
        <v>113.53854173020513</v>
      </c>
      <c r="E25" s="45">
        <f>EnrlSC!W25/'SC-Population'!E25%</f>
        <v>114.04288400297892</v>
      </c>
      <c r="F25" s="45">
        <f>EnrlSC!AG25/'SC-Population'!F25%</f>
        <v>78.289249702629888</v>
      </c>
      <c r="G25" s="45">
        <f>EnrlSC!AH25/'SC-Population'!G25%</f>
        <v>78.389834136817868</v>
      </c>
      <c r="H25" s="45">
        <f>EnrlSC!AI25/'SC-Population'!H25%</f>
        <v>78.339077595257535</v>
      </c>
      <c r="I25" s="45">
        <f>EnrlSC!AJ25/('SC-Population'!C25+'SC-Population'!F25)%</f>
        <v>100.43482667416443</v>
      </c>
      <c r="J25" s="45">
        <f>EnrlSC!AK25/('SC-Population'!D25+'SC-Population'!G25)%</f>
        <v>99.723344103392577</v>
      </c>
      <c r="K25" s="45">
        <f>EnrlSC!AL25/('SC-Population'!E25+'SC-Population'!H25)%</f>
        <v>100.084246976313</v>
      </c>
      <c r="L25" s="45">
        <f>EnrlSC!AS25/'SC-Population'!I25%</f>
        <v>60.72884247262121</v>
      </c>
      <c r="M25" s="45">
        <f>EnrlSC!AT25/'SC-Population'!J25%</f>
        <v>55.647704037759645</v>
      </c>
      <c r="N25" s="45">
        <f>EnrlSC!AU25/'SC-Population'!K25%</f>
        <v>58.160403633214095</v>
      </c>
      <c r="O25" s="45">
        <f>EnrlSC!AV25/('SC-Population'!C25+'SC-Population'!F25+'SC-Population'!I25)%</f>
        <v>92.466589313806963</v>
      </c>
      <c r="P25" s="45">
        <f>EnrlSC!AW25/('SC-Population'!D25+'SC-Population'!G25+'SC-Population'!J25)%</f>
        <v>90.512397618315489</v>
      </c>
      <c r="Q25" s="45">
        <f>EnrlSC!AX25/('SC-Population'!E25+'SC-Population'!H25+'SC-Population'!K25)%</f>
        <v>91.498572094553651</v>
      </c>
      <c r="R25" s="45">
        <f>EnrlSC!BE25/'SC-Population'!L25%</f>
        <v>25.222199216263679</v>
      </c>
      <c r="S25" s="45">
        <f>EnrlSC!BF25/'SC-Population'!M25%</f>
        <v>16.564551587631357</v>
      </c>
      <c r="T25" s="45">
        <f>EnrlSC!BG25/'SC-Population'!N25%</f>
        <v>20.860987639286368</v>
      </c>
      <c r="U25" s="45">
        <f>(EnrlSC!AS25+EnrlSC!BE25)/('SC-Population'!L25+'SC-Population'!I25)%</f>
        <v>44.424920859053408</v>
      </c>
      <c r="V25" s="45">
        <f>(EnrlSC!AT25+EnrlSC!BF25)/('SC-Population'!M25+'SC-Population'!J25)%</f>
        <v>37.769214818910697</v>
      </c>
      <c r="W25" s="45">
        <f>(EnrlSC!AU25+EnrlSC!BG25)/('SC-Population'!N25+'SC-Population'!K25)%</f>
        <v>41.065881569102132</v>
      </c>
      <c r="X25" s="45">
        <f>EnrlSC!BH25/('SC-Population'!C25+'SC-Population'!F25+'SC-Population'!I25+'SC-Population'!L25)%</f>
        <v>82.677049317591894</v>
      </c>
      <c r="Y25" s="45">
        <f>EnrlSC!BI25/('SC-Population'!D25+'SC-Population'!G25+'SC-Population'!J25+'SC-Population'!M25)%</f>
        <v>79.434698958804887</v>
      </c>
      <c r="Z25" s="45">
        <f>EnrlSC!BJ25/('SC-Population'!E25+'SC-Population'!H25+'SC-Population'!K25+'SC-Population'!N25)%</f>
        <v>81.06692144492996</v>
      </c>
    </row>
    <row r="26" spans="1:26" s="35" customFormat="1" ht="18.75" customHeight="1">
      <c r="A26" s="25">
        <v>21</v>
      </c>
      <c r="B26" s="26" t="s">
        <v>74</v>
      </c>
      <c r="C26" s="45">
        <f>EnrlSC!U26/'SC-Population'!C26%</f>
        <v>111.86801567391619</v>
      </c>
      <c r="D26" s="45">
        <f>EnrlSC!V26/'SC-Population'!D26%</f>
        <v>113.24351485459457</v>
      </c>
      <c r="E26" s="45">
        <f>EnrlSC!W26/'SC-Population'!E26%</f>
        <v>112.50329139684651</v>
      </c>
      <c r="F26" s="45">
        <f>EnrlSC!AG26/'SC-Population'!F26%</f>
        <v>92.198532167291802</v>
      </c>
      <c r="G26" s="45">
        <f>EnrlSC!AH26/'SC-Population'!G26%</f>
        <v>92.281326958165891</v>
      </c>
      <c r="H26" s="45">
        <f>EnrlSC!AI26/'SC-Population'!H26%</f>
        <v>92.236631982985173</v>
      </c>
      <c r="I26" s="45">
        <f>EnrlSC!AJ26/('SC-Population'!C26+'SC-Population'!F26)%</f>
        <v>104.30164454758038</v>
      </c>
      <c r="J26" s="45">
        <f>EnrlSC!AK26/('SC-Population'!D26+'SC-Population'!G26)%</f>
        <v>105.21338032891941</v>
      </c>
      <c r="K26" s="45">
        <f>EnrlSC!AL26/('SC-Population'!E26+'SC-Population'!H26)%</f>
        <v>104.72214279429879</v>
      </c>
      <c r="L26" s="45">
        <f>EnrlSC!AS26/'SC-Population'!I26%</f>
        <v>66.990750054975649</v>
      </c>
      <c r="M26" s="45">
        <f>EnrlSC!AT26/'SC-Population'!J26%</f>
        <v>70.06908090021048</v>
      </c>
      <c r="N26" s="45">
        <f>EnrlSC!AU26/'SC-Population'!K26%</f>
        <v>68.420208460206354</v>
      </c>
      <c r="O26" s="45">
        <f>EnrlSC!AV26/('SC-Population'!C26+'SC-Population'!F26+'SC-Population'!I26)%</f>
        <v>96.307916847936127</v>
      </c>
      <c r="P26" s="45">
        <f>EnrlSC!AW26/('SC-Population'!D26+'SC-Population'!G26+'SC-Population'!J26)%</f>
        <v>97.608478584566868</v>
      </c>
      <c r="Q26" s="45">
        <f>EnrlSC!AX26/('SC-Population'!E26+'SC-Population'!H26+'SC-Population'!K26)%</f>
        <v>96.908627308617824</v>
      </c>
      <c r="R26" s="45">
        <f>EnrlSC!BE26/'SC-Population'!L26%</f>
        <v>33.967189016518567</v>
      </c>
      <c r="S26" s="45">
        <f>EnrlSC!BF26/'SC-Population'!M26%</f>
        <v>38.692441112292286</v>
      </c>
      <c r="T26" s="45">
        <f>EnrlSC!BG26/'SC-Population'!N26%</f>
        <v>36.127281469962348</v>
      </c>
      <c r="U26" s="45">
        <f>(EnrlSC!AS26+EnrlSC!BE26)/('SC-Population'!L26+'SC-Population'!I26)%</f>
        <v>50.536531315070995</v>
      </c>
      <c r="V26" s="45">
        <f>(EnrlSC!AT26+EnrlSC!BF26)/('SC-Population'!M26+'SC-Population'!J26)%</f>
        <v>54.663480028569865</v>
      </c>
      <c r="W26" s="45">
        <f>(EnrlSC!AU26+EnrlSC!BG26)/('SC-Population'!N26+'SC-Population'!K26)%</f>
        <v>52.438173815849929</v>
      </c>
      <c r="X26" s="45">
        <f>EnrlSC!BH26/('SC-Population'!C26+'SC-Population'!F26+'SC-Population'!I26+'SC-Population'!L26)%</f>
        <v>85.371288765456598</v>
      </c>
      <c r="Y26" s="45">
        <f>EnrlSC!BI26/('SC-Population'!D26+'SC-Population'!G26+'SC-Population'!J26+'SC-Population'!M26)%</f>
        <v>87.434553456263501</v>
      </c>
      <c r="Z26" s="45">
        <f>EnrlSC!BJ26/('SC-Population'!E26+'SC-Population'!H26+'SC-Population'!K26+'SC-Population'!N26)%</f>
        <v>86.322574609828294</v>
      </c>
    </row>
    <row r="27" spans="1:26" s="35" customFormat="1" ht="18.75" customHeight="1">
      <c r="A27" s="25">
        <v>22</v>
      </c>
      <c r="B27" s="26" t="s">
        <v>32</v>
      </c>
      <c r="C27" s="45">
        <f>EnrlSC!U27/'SC-Population'!C27%</f>
        <v>114.64499924085106</v>
      </c>
      <c r="D27" s="45">
        <f>EnrlSC!V27/'SC-Population'!D27%</f>
        <v>112.7650644814259</v>
      </c>
      <c r="E27" s="45">
        <f>EnrlSC!W27/'SC-Population'!E27%</f>
        <v>113.75443329623322</v>
      </c>
      <c r="F27" s="45">
        <f>EnrlSC!AG27/'SC-Population'!F27%</f>
        <v>83.059224051444829</v>
      </c>
      <c r="G27" s="45">
        <f>EnrlSC!AH27/'SC-Population'!G27%</f>
        <v>75.806120637380019</v>
      </c>
      <c r="H27" s="45">
        <f>EnrlSC!AI27/'SC-Population'!H27%</f>
        <v>79.640423110906298</v>
      </c>
      <c r="I27" s="45">
        <f>EnrlSC!AJ27/('SC-Population'!C27+'SC-Population'!F27)%</f>
        <v>103.03094670973408</v>
      </c>
      <c r="J27" s="45">
        <f>EnrlSC!AK27/('SC-Population'!D27+'SC-Population'!G27)%</f>
        <v>99.256726749325622</v>
      </c>
      <c r="K27" s="45">
        <f>EnrlSC!AL27/('SC-Population'!E27+'SC-Population'!H27)%</f>
        <v>101.2462891457763</v>
      </c>
      <c r="L27" s="45">
        <f>EnrlSC!AS27/'SC-Population'!I27%</f>
        <v>68.322839475265368</v>
      </c>
      <c r="M27" s="45">
        <f>EnrlSC!AT27/'SC-Population'!J27%</f>
        <v>49.628975712471558</v>
      </c>
      <c r="N27" s="45">
        <f>EnrlSC!AU27/'SC-Population'!K27%</f>
        <v>59.65275552102613</v>
      </c>
      <c r="O27" s="45">
        <f>EnrlSC!AV27/('SC-Population'!C27+'SC-Population'!F27+'SC-Population'!I27)%</f>
        <v>96.278157057887697</v>
      </c>
      <c r="P27" s="45">
        <f>EnrlSC!AW27/('SC-Population'!D27+'SC-Population'!G27+'SC-Population'!J27)%</f>
        <v>89.881069553805773</v>
      </c>
      <c r="Q27" s="45">
        <f>EnrlSC!AX27/('SC-Population'!E27+'SC-Population'!H27+'SC-Population'!K27)%</f>
        <v>93.264388521062287</v>
      </c>
      <c r="R27" s="45">
        <f>EnrlSC!BE27/'SC-Population'!L27%</f>
        <v>46.517263133746269</v>
      </c>
      <c r="S27" s="45">
        <f>EnrlSC!BF27/'SC-Population'!M27%</f>
        <v>30.388818121160128</v>
      </c>
      <c r="T27" s="45">
        <f>EnrlSC!BG27/'SC-Population'!N27%</f>
        <v>39.215109322097071</v>
      </c>
      <c r="U27" s="45">
        <f>(EnrlSC!AS27+EnrlSC!BE27)/('SC-Population'!L27+'SC-Population'!I27)%</f>
        <v>58.159183864414032</v>
      </c>
      <c r="V27" s="45">
        <f>(EnrlSC!AT27+EnrlSC!BF27)/('SC-Population'!M27+'SC-Population'!J27)%</f>
        <v>40.873700460765896</v>
      </c>
      <c r="W27" s="45">
        <f>(EnrlSC!AU27+EnrlSC!BG27)/('SC-Population'!N27+'SC-Population'!K27)%</f>
        <v>50.230300969407459</v>
      </c>
      <c r="X27" s="45">
        <f>EnrlSC!BH27/('SC-Population'!C27+'SC-Population'!F27+'SC-Population'!I27+'SC-Population'!L27)%</f>
        <v>89.053223796004502</v>
      </c>
      <c r="Y27" s="45">
        <f>EnrlSC!BI27/('SC-Population'!D27+'SC-Population'!G27+'SC-Population'!J27+'SC-Population'!M27)%</f>
        <v>81.774687367534881</v>
      </c>
      <c r="Z27" s="45">
        <f>EnrlSC!BJ27/('SC-Population'!E27+'SC-Population'!H27+'SC-Population'!K27+'SC-Population'!N27)%</f>
        <v>85.643040038370714</v>
      </c>
    </row>
    <row r="28" spans="1:26" s="35" customFormat="1" ht="18.75" customHeight="1">
      <c r="A28" s="25">
        <v>23</v>
      </c>
      <c r="B28" s="26" t="s">
        <v>33</v>
      </c>
      <c r="C28" s="45">
        <f>EnrlSC!U28/'SC-Population'!C28%</f>
        <v>206.70498084291188</v>
      </c>
      <c r="D28" s="45">
        <f>EnrlSC!V28/'SC-Population'!D28%</f>
        <v>199.46702198534311</v>
      </c>
      <c r="E28" s="45">
        <f>EnrlSC!W28/'SC-Population'!E28%</f>
        <v>203.16269970655361</v>
      </c>
      <c r="F28" s="45">
        <f>EnrlSC!AG28/'SC-Population'!F28%</f>
        <v>110.57786483839372</v>
      </c>
      <c r="G28" s="45">
        <f>EnrlSC!AH28/'SC-Population'!G28%</f>
        <v>135.0895679662803</v>
      </c>
      <c r="H28" s="45">
        <f>EnrlSC!AI28/'SC-Population'!H28%</f>
        <v>122.38578680203047</v>
      </c>
      <c r="I28" s="45">
        <f>EnrlSC!AJ28/('SC-Population'!C28+'SC-Population'!F28)%</f>
        <v>168.76691148047931</v>
      </c>
      <c r="J28" s="45">
        <f>EnrlSC!AK28/('SC-Population'!D28+'SC-Population'!G28)%</f>
        <v>174.53061224489795</v>
      </c>
      <c r="K28" s="45">
        <f>EnrlSC!AL28/('SC-Population'!E28+'SC-Population'!H28)%</f>
        <v>171.57037919396467</v>
      </c>
      <c r="L28" s="45">
        <f>EnrlSC!AS28/'SC-Population'!I28%</f>
        <v>67.319277108433738</v>
      </c>
      <c r="M28" s="45">
        <f>EnrlSC!AT28/'SC-Population'!J28%</f>
        <v>83.098591549295776</v>
      </c>
      <c r="N28" s="45">
        <f>EnrlSC!AU28/'SC-Population'!K28%</f>
        <v>74.594155844155836</v>
      </c>
      <c r="O28" s="45">
        <f>EnrlSC!AV28/('SC-Population'!C28+'SC-Population'!F28+'SC-Population'!I28)%</f>
        <v>148.04675484466318</v>
      </c>
      <c r="P28" s="45">
        <f>EnrlSC!AW28/('SC-Population'!D28+'SC-Population'!G28+'SC-Population'!J28)%</f>
        <v>157.32273028495692</v>
      </c>
      <c r="Q28" s="45">
        <f>EnrlSC!AX28/('SC-Population'!E28+'SC-Population'!H28+'SC-Population'!K28)%</f>
        <v>152.51236241824853</v>
      </c>
      <c r="R28" s="45">
        <f>EnrlSC!BE28/'SC-Population'!L28%</f>
        <v>35.321100917431195</v>
      </c>
      <c r="S28" s="45">
        <f>EnrlSC!BF28/'SC-Population'!M28%</f>
        <v>37.925696594427244</v>
      </c>
      <c r="T28" s="45">
        <f>EnrlSC!BG28/'SC-Population'!N28%</f>
        <v>36.615384615384613</v>
      </c>
      <c r="U28" s="45">
        <f>(EnrlSC!AS28+EnrlSC!BE28)/('SC-Population'!L28+'SC-Population'!I28)%</f>
        <v>51.441578148710171</v>
      </c>
      <c r="V28" s="45">
        <f>(EnrlSC!AT28+EnrlSC!BF28)/('SC-Population'!M28+'SC-Population'!J28)%</f>
        <v>59.060955518945633</v>
      </c>
      <c r="W28" s="45">
        <f>(EnrlSC!AU28+EnrlSC!BG28)/('SC-Population'!N28+'SC-Population'!K28)%</f>
        <v>55.094786729857816</v>
      </c>
      <c r="X28" s="45">
        <f>EnrlSC!BH28/('SC-Population'!C28+'SC-Population'!F28+'SC-Population'!I28+'SC-Population'!L28)%</f>
        <v>129.16773367477595</v>
      </c>
      <c r="Y28" s="45">
        <f>EnrlSC!BI28/('SC-Population'!D28+'SC-Population'!G28+'SC-Population'!J28+'SC-Population'!M28)%</f>
        <v>136.27183406113537</v>
      </c>
      <c r="Z28" s="45">
        <f>EnrlSC!BJ28/('SC-Population'!E28+'SC-Population'!H28+'SC-Population'!K28+'SC-Population'!N28)%</f>
        <v>132.60668516316554</v>
      </c>
    </row>
    <row r="29" spans="1:26" s="35" customFormat="1" ht="18.75" customHeight="1">
      <c r="A29" s="25">
        <v>24</v>
      </c>
      <c r="B29" s="26" t="s">
        <v>34</v>
      </c>
      <c r="C29" s="45">
        <f>EnrlSC!U29/'SC-Population'!C29%</f>
        <v>131.92958365797776</v>
      </c>
      <c r="D29" s="45">
        <f>EnrlSC!V29/'SC-Population'!D29%</f>
        <v>146.08720502718134</v>
      </c>
      <c r="E29" s="45">
        <f>EnrlSC!W29/'SC-Population'!E29%</f>
        <v>138.86753648114595</v>
      </c>
      <c r="F29" s="45">
        <f>EnrlSC!AG29/'SC-Population'!F29%</f>
        <v>115.9034011040283</v>
      </c>
      <c r="G29" s="45">
        <f>EnrlSC!AH29/'SC-Population'!G29%</f>
        <v>119.08933703238327</v>
      </c>
      <c r="H29" s="45">
        <f>EnrlSC!AI29/'SC-Population'!H29%</f>
        <v>117.46317528224569</v>
      </c>
      <c r="I29" s="45">
        <f>EnrlSC!AJ29/('SC-Population'!C29+'SC-Population'!F29)%</f>
        <v>125.63702026695255</v>
      </c>
      <c r="J29" s="45">
        <f>EnrlSC!AK29/('SC-Population'!D29+'SC-Population'!G29)%</f>
        <v>135.49878556811893</v>
      </c>
      <c r="K29" s="45">
        <f>EnrlSC!AL29/('SC-Population'!E29+'SC-Population'!H29)%</f>
        <v>130.46796834479412</v>
      </c>
      <c r="L29" s="45">
        <f>EnrlSC!AS29/'SC-Population'!I29%</f>
        <v>87.719445434905722</v>
      </c>
      <c r="M29" s="45">
        <f>EnrlSC!AT29/'SC-Population'!J29%</f>
        <v>90.808831638617477</v>
      </c>
      <c r="N29" s="45">
        <f>EnrlSC!AU29/'SC-Population'!K29%</f>
        <v>89.22527791515256</v>
      </c>
      <c r="O29" s="45">
        <f>EnrlSC!AV29/('SC-Population'!C29+'SC-Population'!F29+'SC-Population'!I29)%</f>
        <v>117.62147710125049</v>
      </c>
      <c r="P29" s="45">
        <f>EnrlSC!AW29/('SC-Population'!D29+'SC-Population'!G29+'SC-Population'!J29)%</f>
        <v>126.1243031784087</v>
      </c>
      <c r="Q29" s="45">
        <f>EnrlSC!AX29/('SC-Population'!E29+'SC-Population'!H29+'SC-Population'!K29)%</f>
        <v>121.78234784239541</v>
      </c>
      <c r="R29" s="45">
        <f>EnrlSC!BE29/'SC-Population'!L29%</f>
        <v>47.211032208502743</v>
      </c>
      <c r="S29" s="45">
        <f>EnrlSC!BF29/'SC-Population'!M29%</f>
        <v>60.455619011508958</v>
      </c>
      <c r="T29" s="45">
        <f>EnrlSC!BG29/'SC-Population'!N29%</f>
        <v>53.65936671352123</v>
      </c>
      <c r="U29" s="45">
        <f>(EnrlSC!AS29+EnrlSC!BE29)/('SC-Population'!L29+'SC-Population'!I29)%</f>
        <v>68.168820998450045</v>
      </c>
      <c r="V29" s="45">
        <f>(EnrlSC!AT29+EnrlSC!BF29)/('SC-Population'!M29+'SC-Population'!J29)%</f>
        <v>76.176277950405165</v>
      </c>
      <c r="W29" s="45">
        <f>(EnrlSC!AU29+EnrlSC!BG29)/('SC-Population'!N29+'SC-Population'!K29)%</f>
        <v>72.069679714840376</v>
      </c>
      <c r="X29" s="45">
        <f>EnrlSC!BH29/('SC-Population'!C29+'SC-Population'!F29+'SC-Population'!I29+'SC-Population'!L29)%</f>
        <v>106.02361745427521</v>
      </c>
      <c r="Y29" s="45">
        <f>EnrlSC!BI29/('SC-Population'!D29+'SC-Population'!G29+'SC-Population'!J29+'SC-Population'!M29)%</f>
        <v>115.39708704979112</v>
      </c>
      <c r="Z29" s="45">
        <f>EnrlSC!BJ29/('SC-Population'!E29+'SC-Population'!H29+'SC-Population'!K29+'SC-Population'!N29)%</f>
        <v>110.60671636517807</v>
      </c>
    </row>
    <row r="30" spans="1:26" s="35" customFormat="1" ht="18.75" customHeight="1">
      <c r="A30" s="25">
        <v>25</v>
      </c>
      <c r="B30" s="26" t="s">
        <v>35</v>
      </c>
      <c r="C30" s="45">
        <f>EnrlSC!U30/'SC-Population'!C30%</f>
        <v>122.02689075630252</v>
      </c>
      <c r="D30" s="45">
        <f>EnrlSC!V30/'SC-Population'!D30%</f>
        <v>123.43284640476527</v>
      </c>
      <c r="E30" s="45">
        <f>EnrlSC!W30/'SC-Population'!E30%</f>
        <v>122.71111571246162</v>
      </c>
      <c r="F30" s="45">
        <f>EnrlSC!AG30/'SC-Population'!F30%</f>
        <v>123.84351044144859</v>
      </c>
      <c r="G30" s="45">
        <f>EnrlSC!AH30/'SC-Population'!G30%</f>
        <v>127.15169594519942</v>
      </c>
      <c r="H30" s="45">
        <f>EnrlSC!AI30/'SC-Population'!H30%</f>
        <v>125.4612745495313</v>
      </c>
      <c r="I30" s="45">
        <f>EnrlSC!AJ30/('SC-Population'!C30+'SC-Population'!F30)%</f>
        <v>122.73297030720231</v>
      </c>
      <c r="J30" s="45">
        <f>EnrlSC!AK30/('SC-Population'!D30+'SC-Population'!G30)%</f>
        <v>124.88662376365913</v>
      </c>
      <c r="K30" s="45">
        <f>EnrlSC!AL30/('SC-Population'!E30+'SC-Population'!H30)%</f>
        <v>123.78304956249802</v>
      </c>
      <c r="L30" s="45">
        <f>EnrlSC!AS30/'SC-Population'!I30%</f>
        <v>105.68705321683876</v>
      </c>
      <c r="M30" s="45">
        <f>EnrlSC!AT30/'SC-Population'!J30%</f>
        <v>108.30668306683067</v>
      </c>
      <c r="N30" s="45">
        <f>EnrlSC!AU30/'SC-Population'!K30%</f>
        <v>106.97599354448255</v>
      </c>
      <c r="O30" s="45">
        <f>EnrlSC!AV30/('SC-Population'!C30+'SC-Population'!F30+'SC-Population'!I30)%</f>
        <v>119.22945065708923</v>
      </c>
      <c r="P30" s="45">
        <f>EnrlSC!AW30/('SC-Population'!D30+'SC-Population'!G30+'SC-Population'!J30)%</f>
        <v>121.43040289909574</v>
      </c>
      <c r="Q30" s="45">
        <f>EnrlSC!AX30/('SC-Population'!E30+'SC-Population'!H30+'SC-Population'!K30)%</f>
        <v>120.30461939276529</v>
      </c>
      <c r="R30" s="45">
        <f>EnrlSC!BE30/'SC-Population'!L30%</f>
        <v>53.740041310120979</v>
      </c>
      <c r="S30" s="45">
        <f>EnrlSC!BF30/'SC-Population'!M30%</f>
        <v>55.613534447615166</v>
      </c>
      <c r="T30" s="45">
        <f>EnrlSC!BG30/'SC-Population'!N30%</f>
        <v>54.629952364354601</v>
      </c>
      <c r="U30" s="45">
        <f>(EnrlSC!AS30+EnrlSC!BE30)/('SC-Population'!L30+'SC-Population'!I30)%</f>
        <v>78.753920293735192</v>
      </c>
      <c r="V30" s="45">
        <f>(EnrlSC!AT30+EnrlSC!BF30)/('SC-Population'!M30+'SC-Population'!J30)%</f>
        <v>81.884709730171707</v>
      </c>
      <c r="W30" s="45">
        <f>(EnrlSC!AU30+EnrlSC!BG30)/('SC-Population'!N30+'SC-Population'!K30)%</f>
        <v>80.267161996601189</v>
      </c>
      <c r="X30" s="45">
        <f>EnrlSC!BH30/('SC-Population'!C30+'SC-Population'!F30+'SC-Population'!I30+'SC-Population'!L30)%</f>
        <v>107.36255363516061</v>
      </c>
      <c r="Y30" s="45">
        <f>EnrlSC!BI30/('SC-Population'!D30+'SC-Population'!G30+'SC-Population'!J30+'SC-Population'!M30)%</f>
        <v>110.0231749710313</v>
      </c>
      <c r="Z30" s="45">
        <f>EnrlSC!BJ30/('SC-Population'!E30+'SC-Population'!H30+'SC-Population'!K30+'SC-Population'!N30)%</f>
        <v>108.65590031392321</v>
      </c>
    </row>
    <row r="31" spans="1:26" s="35" customFormat="1" ht="18.75" customHeight="1">
      <c r="A31" s="25">
        <v>26</v>
      </c>
      <c r="B31" s="26" t="s">
        <v>36</v>
      </c>
      <c r="C31" s="45">
        <f>EnrlSC!U31/'SC-Population'!C31%</f>
        <v>138.51452113310756</v>
      </c>
      <c r="D31" s="45">
        <f>EnrlSC!V31/'SC-Population'!D31%</f>
        <v>148.06383405106843</v>
      </c>
      <c r="E31" s="45">
        <f>EnrlSC!W31/'SC-Population'!E31%</f>
        <v>143.03475210783938</v>
      </c>
      <c r="F31" s="45">
        <f>EnrlSC!AG31/'SC-Population'!F31%</f>
        <v>88.485899055863641</v>
      </c>
      <c r="G31" s="45">
        <f>EnrlSC!AH31/'SC-Population'!G31%</f>
        <v>95.905707025992854</v>
      </c>
      <c r="H31" s="45">
        <f>EnrlSC!AI31/'SC-Population'!H31%</f>
        <v>91.983338242970177</v>
      </c>
      <c r="I31" s="45">
        <f>EnrlSC!AJ31/('SC-Population'!C31+'SC-Population'!F31)%</f>
        <v>121.01538217567177</v>
      </c>
      <c r="J31" s="45">
        <f>EnrlSC!AK31/('SC-Population'!D31+'SC-Population'!G31)%</f>
        <v>129.91450342072159</v>
      </c>
      <c r="K31" s="45">
        <f>EnrlSC!AL31/('SC-Population'!E31+'SC-Population'!H31)%</f>
        <v>125.22165678876851</v>
      </c>
      <c r="L31" s="45">
        <f>EnrlSC!AS31/'SC-Population'!I31%</f>
        <v>82.161611916684919</v>
      </c>
      <c r="M31" s="45">
        <f>EnrlSC!AT31/'SC-Population'!J31%</f>
        <v>86.495800258307341</v>
      </c>
      <c r="N31" s="45">
        <f>EnrlSC!AU31/'SC-Population'!K31%</f>
        <v>84.195122591324292</v>
      </c>
      <c r="O31" s="45">
        <f>EnrlSC!AV31/('SC-Population'!C31+'SC-Population'!F31+'SC-Population'!I31)%</f>
        <v>113.44296138911301</v>
      </c>
      <c r="P31" s="45">
        <f>EnrlSC!AW31/('SC-Population'!D31+'SC-Population'!G31+'SC-Population'!J31)%</f>
        <v>121.54722294674576</v>
      </c>
      <c r="Q31" s="45">
        <f>EnrlSC!AX31/('SC-Population'!E31+'SC-Population'!H31+'SC-Population'!K31)%</f>
        <v>117.26806446583679</v>
      </c>
      <c r="R31" s="45">
        <f>EnrlSC!BE31/'SC-Population'!L31%</f>
        <v>54.38104215079052</v>
      </c>
      <c r="S31" s="45">
        <f>EnrlSC!BF31/'SC-Population'!M31%</f>
        <v>57.773510430861286</v>
      </c>
      <c r="T31" s="45">
        <f>EnrlSC!BG31/'SC-Population'!N31%</f>
        <v>55.965026522530337</v>
      </c>
      <c r="U31" s="45">
        <f>(EnrlSC!AS31+EnrlSC!BE31)/('SC-Population'!L31+'SC-Population'!I31)%</f>
        <v>69.386061749088597</v>
      </c>
      <c r="V31" s="45">
        <f>(EnrlSC!AT31+EnrlSC!BF31)/('SC-Population'!M31+'SC-Population'!J31)%</f>
        <v>73.352114812627647</v>
      </c>
      <c r="W31" s="45">
        <f>(EnrlSC!AU31+EnrlSC!BG31)/('SC-Population'!N31+'SC-Population'!K31)%</f>
        <v>71.24272571062626</v>
      </c>
      <c r="X31" s="45">
        <f>EnrlSC!BH31/('SC-Population'!C31+'SC-Population'!F31+'SC-Population'!I31+'SC-Population'!L31)%</f>
        <v>105.03720324402724</v>
      </c>
      <c r="Y31" s="45">
        <f>EnrlSC!BI31/('SC-Population'!D31+'SC-Population'!G31+'SC-Population'!J31+'SC-Population'!M31)%</f>
        <v>112.62833128188724</v>
      </c>
      <c r="Z31" s="45">
        <f>EnrlSC!BJ31/('SC-Population'!E31+'SC-Population'!H31+'SC-Population'!K31+'SC-Population'!N31)%</f>
        <v>108.61467653958468</v>
      </c>
    </row>
    <row r="32" spans="1:26" s="35" customFormat="1" ht="18.75" customHeight="1">
      <c r="A32" s="25">
        <v>27</v>
      </c>
      <c r="B32" s="26" t="s">
        <v>37</v>
      </c>
      <c r="C32" s="45">
        <f>EnrlSC!U32/'SC-Population'!C32%</f>
        <v>116.05387906116314</v>
      </c>
      <c r="D32" s="45">
        <f>EnrlSC!V32/'SC-Population'!D32%</f>
        <v>119.45033604496111</v>
      </c>
      <c r="E32" s="45">
        <f>EnrlSC!W32/'SC-Population'!E32%</f>
        <v>117.68394559050282</v>
      </c>
      <c r="F32" s="45">
        <f>EnrlSC!AG32/'SC-Population'!F32%</f>
        <v>98.472203343754245</v>
      </c>
      <c r="G32" s="45">
        <f>EnrlSC!AH32/'SC-Population'!G32%</f>
        <v>105.27865682137835</v>
      </c>
      <c r="H32" s="45">
        <f>EnrlSC!AI32/'SC-Population'!H32%</f>
        <v>101.74791646101561</v>
      </c>
      <c r="I32" s="45">
        <f>EnrlSC!AJ32/('SC-Population'!C32+'SC-Population'!F32)%</f>
        <v>109.40890596745028</v>
      </c>
      <c r="J32" s="45">
        <f>EnrlSC!AK32/('SC-Population'!D32+'SC-Population'!G32)%</f>
        <v>114.07634571687306</v>
      </c>
      <c r="K32" s="45">
        <f>EnrlSC!AL32/('SC-Population'!E32+'SC-Population'!H32)%</f>
        <v>111.65131468318684</v>
      </c>
      <c r="L32" s="45">
        <f>EnrlSC!AS32/'SC-Population'!I32%</f>
        <v>92.664307173134688</v>
      </c>
      <c r="M32" s="45">
        <f>EnrlSC!AT32/'SC-Population'!J32%</f>
        <v>85.203061135750943</v>
      </c>
      <c r="N32" s="45">
        <f>EnrlSC!AU32/'SC-Population'!K32%</f>
        <v>89.036302513901518</v>
      </c>
      <c r="O32" s="45">
        <f>EnrlSC!AV32/('SC-Population'!C32+'SC-Population'!F32+'SC-Population'!I32)%</f>
        <v>106.06362074210496</v>
      </c>
      <c r="P32" s="45">
        <f>EnrlSC!AW32/('SC-Population'!D32+'SC-Population'!G32+'SC-Population'!J32)%</f>
        <v>108.19981149858624</v>
      </c>
      <c r="Q32" s="45">
        <f>EnrlSC!AX32/('SC-Population'!E32+'SC-Population'!H32+'SC-Population'!K32)%</f>
        <v>107.09242680294173</v>
      </c>
      <c r="R32" s="45">
        <f>EnrlSC!BE32/'SC-Population'!L32%</f>
        <v>56.091583502605317</v>
      </c>
      <c r="S32" s="45">
        <f>EnrlSC!BF32/'SC-Population'!M32%</f>
        <v>54.509187620889747</v>
      </c>
      <c r="T32" s="45">
        <f>EnrlSC!BG32/'SC-Population'!N32%</f>
        <v>55.336287679453449</v>
      </c>
      <c r="U32" s="45">
        <f>(EnrlSC!AS32+EnrlSC!BE32)/('SC-Population'!L32+'SC-Population'!I32)%</f>
        <v>75.02183406113538</v>
      </c>
      <c r="V32" s="45">
        <f>(EnrlSC!AT32+EnrlSC!BF32)/('SC-Population'!M32+'SC-Population'!J32)%</f>
        <v>70.670589312697473</v>
      </c>
      <c r="W32" s="45">
        <f>(EnrlSC!AU32+EnrlSC!BG32)/('SC-Population'!N32+'SC-Population'!K32)%</f>
        <v>72.924643854209194</v>
      </c>
      <c r="X32" s="45">
        <f>EnrlSC!BH32/('SC-Population'!C32+'SC-Population'!F32+'SC-Population'!I32+'SC-Population'!L32)%</f>
        <v>98.219694606752469</v>
      </c>
      <c r="Y32" s="45">
        <f>EnrlSC!BI32/('SC-Population'!D32+'SC-Population'!G32+'SC-Population'!J32+'SC-Population'!M32)%</f>
        <v>99.893773400709918</v>
      </c>
      <c r="Z32" s="45">
        <f>EnrlSC!BJ32/('SC-Population'!E32+'SC-Population'!H32+'SC-Population'!K32+'SC-Population'!N32)%</f>
        <v>99.024822854511342</v>
      </c>
    </row>
    <row r="33" spans="1:26" s="35" customFormat="1" ht="18.75" customHeight="1">
      <c r="A33" s="25">
        <v>28</v>
      </c>
      <c r="B33" s="26" t="s">
        <v>38</v>
      </c>
      <c r="C33" s="45">
        <f>EnrlSC!U33/'SC-Population'!C33%</f>
        <v>131.03484684472161</v>
      </c>
      <c r="D33" s="45">
        <f>EnrlSC!V33/'SC-Population'!D33%</f>
        <v>131.36244798653226</v>
      </c>
      <c r="E33" s="45">
        <f>EnrlSC!W33/'SC-Population'!E33%</f>
        <v>131.1952557357838</v>
      </c>
      <c r="F33" s="45">
        <f>EnrlSC!AG33/'SC-Population'!F33%</f>
        <v>98.393915548920049</v>
      </c>
      <c r="G33" s="45">
        <f>EnrlSC!AH33/'SC-Population'!G33%</f>
        <v>102.51132467929664</v>
      </c>
      <c r="H33" s="45">
        <f>EnrlSC!AI33/'SC-Population'!H33%</f>
        <v>100.40922161588311</v>
      </c>
      <c r="I33" s="45">
        <f>EnrlSC!AJ33/('SC-Population'!C33+'SC-Population'!F33)%</f>
        <v>118.34744008410556</v>
      </c>
      <c r="J33" s="45">
        <f>EnrlSC!AK33/('SC-Population'!D33+'SC-Population'!G33)%</f>
        <v>120.15325949232792</v>
      </c>
      <c r="K33" s="45">
        <f>EnrlSC!AL33/('SC-Population'!E33+'SC-Population'!H33)%</f>
        <v>119.23152265470432</v>
      </c>
      <c r="L33" s="45">
        <f>EnrlSC!AS33/'SC-Population'!I33%</f>
        <v>67.291834737057229</v>
      </c>
      <c r="M33" s="45">
        <f>EnrlSC!AT33/'SC-Population'!J33%</f>
        <v>71.977049225676481</v>
      </c>
      <c r="N33" s="45">
        <f>EnrlSC!AU33/'SC-Population'!K33%</f>
        <v>69.553532977311093</v>
      </c>
      <c r="O33" s="45">
        <f>EnrlSC!AV33/('SC-Population'!C33+'SC-Population'!F33+'SC-Population'!I33)%</f>
        <v>107.48382182562406</v>
      </c>
      <c r="P33" s="45">
        <f>EnrlSC!AW33/('SC-Population'!D33+'SC-Population'!G33+'SC-Population'!J33)%</f>
        <v>110.1216442469788</v>
      </c>
      <c r="Q33" s="45">
        <f>EnrlSC!AX33/('SC-Population'!E33+'SC-Population'!H33+'SC-Population'!K33)%</f>
        <v>108.77143078732304</v>
      </c>
      <c r="R33" s="45">
        <f>EnrlSC!BE33/'SC-Population'!L33%</f>
        <v>47.339043811353207</v>
      </c>
      <c r="S33" s="45">
        <f>EnrlSC!BF33/'SC-Population'!M33%</f>
        <v>44.326779217811179</v>
      </c>
      <c r="T33" s="45">
        <f>EnrlSC!BG33/'SC-Population'!N33%</f>
        <v>45.963437691895081</v>
      </c>
      <c r="U33" s="45">
        <f>(EnrlSC!AS33+EnrlSC!BE33)/('SC-Population'!L33+'SC-Population'!I33)%</f>
        <v>57.502602597117964</v>
      </c>
      <c r="V33" s="45">
        <f>(EnrlSC!AT33+EnrlSC!BF33)/('SC-Population'!M33+'SC-Population'!J33)%</f>
        <v>59.133120438068829</v>
      </c>
      <c r="W33" s="45">
        <f>(EnrlSC!AU33+EnrlSC!BG33)/('SC-Population'!N33+'SC-Population'!K33)%</f>
        <v>58.269376675832774</v>
      </c>
      <c r="X33" s="45">
        <f>EnrlSC!BH33/('SC-Population'!C33+'SC-Population'!F33+'SC-Population'!I33+'SC-Population'!L33)%</f>
        <v>97.254068124609191</v>
      </c>
      <c r="Y33" s="45">
        <f>EnrlSC!BI33/('SC-Population'!D33+'SC-Population'!G33+'SC-Population'!J33+'SC-Population'!M33)%</f>
        <v>100.05541571749124</v>
      </c>
      <c r="Z33" s="45">
        <f>EnrlSC!BJ33/('SC-Population'!E33+'SC-Population'!H33+'SC-Population'!K33+'SC-Population'!N33)%</f>
        <v>98.607234845248868</v>
      </c>
    </row>
    <row r="34" spans="1:26" s="35" customFormat="1" ht="18.75" customHeight="1">
      <c r="A34" s="25">
        <v>29</v>
      </c>
      <c r="B34" s="26" t="s">
        <v>39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s="35" customFormat="1" ht="18.75" customHeight="1">
      <c r="A35" s="25">
        <v>30</v>
      </c>
      <c r="B35" s="26" t="s">
        <v>40</v>
      </c>
      <c r="C35" s="45">
        <f>EnrlSC!U35/'SC-Population'!C35%</f>
        <v>44.722979109900095</v>
      </c>
      <c r="D35" s="45">
        <f>EnrlSC!V35/'SC-Population'!D35%</f>
        <v>41.973261477873358</v>
      </c>
      <c r="E35" s="45">
        <f>EnrlSC!W35/'SC-Population'!E35%</f>
        <v>43.438694999757971</v>
      </c>
      <c r="F35" s="45">
        <f>EnrlSC!AG35/'SC-Population'!F35%</f>
        <v>57.764723602952252</v>
      </c>
      <c r="G35" s="45">
        <f>EnrlSC!AH35/'SC-Population'!G35%</f>
        <v>59.793994413407823</v>
      </c>
      <c r="H35" s="45">
        <f>EnrlSC!AI35/'SC-Population'!H35%</f>
        <v>58.704617126223013</v>
      </c>
      <c r="I35" s="45">
        <f>EnrlSC!AJ35/('SC-Population'!C35+'SC-Population'!F35)%</f>
        <v>49.628874157176043</v>
      </c>
      <c r="J35" s="45">
        <f>EnrlSC!AK35/('SC-Population'!D35+'SC-Population'!G35)%</f>
        <v>48.611562723548154</v>
      </c>
      <c r="K35" s="45">
        <f>EnrlSC!AL35/('SC-Population'!E35+'SC-Population'!H35)%</f>
        <v>49.15521104584267</v>
      </c>
      <c r="L35" s="45">
        <f>EnrlSC!AS35/'SC-Population'!I35%</f>
        <v>53.702453297321632</v>
      </c>
      <c r="M35" s="45">
        <f>EnrlSC!AT35/'SC-Population'!J35%</f>
        <v>56.636942675159233</v>
      </c>
      <c r="N35" s="45">
        <f>EnrlSC!AU35/'SC-Population'!K35%</f>
        <v>55.078871892925427</v>
      </c>
      <c r="O35" s="45">
        <f>EnrlSC!AV35/('SC-Population'!C35+'SC-Population'!F35+'SC-Population'!I35)%</f>
        <v>50.44812601846823</v>
      </c>
      <c r="P35" s="45">
        <f>EnrlSC!AW35/('SC-Population'!D35+'SC-Population'!G35+'SC-Population'!J35)%</f>
        <v>50.243498083100192</v>
      </c>
      <c r="Q35" s="45">
        <f>EnrlSC!AX35/('SC-Population'!E35+'SC-Population'!H35+'SC-Population'!K35)%</f>
        <v>50.352708121950045</v>
      </c>
      <c r="R35" s="45">
        <f>EnrlSC!BE35/'SC-Population'!L35%</f>
        <v>41.62566844919786</v>
      </c>
      <c r="S35" s="45">
        <f>EnrlSC!BF35/'SC-Population'!M35%</f>
        <v>38.993548387096773</v>
      </c>
      <c r="T35" s="45">
        <f>EnrlSC!BG35/'SC-Population'!N35%</f>
        <v>40.432748538011694</v>
      </c>
      <c r="U35" s="45">
        <f>(EnrlSC!AS35+EnrlSC!BE35)/('SC-Population'!L35+'SC-Population'!I35)%</f>
        <v>47.510418951524457</v>
      </c>
      <c r="V35" s="45">
        <f>(EnrlSC!AT35+EnrlSC!BF35)/('SC-Population'!M35+'SC-Population'!J35)%</f>
        <v>47.871794871794869</v>
      </c>
      <c r="W35" s="45">
        <f>(EnrlSC!AU35+EnrlSC!BG35)/('SC-Population'!N35+'SC-Population'!K35)%</f>
        <v>47.677030381841824</v>
      </c>
      <c r="X35" s="45">
        <f>EnrlSC!BH35/('SC-Population'!C35+'SC-Population'!F35+'SC-Population'!I35+'SC-Population'!L35)%</f>
        <v>48.907236522583773</v>
      </c>
      <c r="Y35" s="45">
        <f>EnrlSC!BI35/('SC-Population'!D35+'SC-Population'!G35+'SC-Population'!J35+'SC-Population'!M35)%</f>
        <v>48.362600854295202</v>
      </c>
      <c r="Z35" s="45">
        <f>EnrlSC!BJ35/('SC-Population'!E35+'SC-Population'!H35+'SC-Population'!K35+'SC-Population'!N35)%</f>
        <v>48.654493032196058</v>
      </c>
    </row>
    <row r="36" spans="1:26" s="35" customFormat="1" ht="18.75" customHeight="1">
      <c r="A36" s="25">
        <v>31</v>
      </c>
      <c r="B36" s="26" t="s">
        <v>41</v>
      </c>
      <c r="C36" s="45">
        <f>EnrlSC!U36/'SC-Population'!C36%</f>
        <v>180</v>
      </c>
      <c r="D36" s="45">
        <f>EnrlSC!V36/'SC-Population'!D36%</f>
        <v>164.03162055335969</v>
      </c>
      <c r="E36" s="45">
        <f>EnrlSC!W36/'SC-Population'!E36%</f>
        <v>172.49070631970261</v>
      </c>
      <c r="F36" s="45">
        <f>EnrlSC!AG36/'SC-Population'!F36%</f>
        <v>135.95505617977528</v>
      </c>
      <c r="G36" s="45">
        <f>EnrlSC!AH36/'SC-Population'!G36%</f>
        <v>104.94505494505493</v>
      </c>
      <c r="H36" s="45">
        <f>EnrlSC!AI36/'SC-Population'!H36%</f>
        <v>120.27777777777777</v>
      </c>
      <c r="I36" s="45">
        <f>EnrlSC!AJ36/('SC-Population'!C36+'SC-Population'!F36)%</f>
        <v>163.06695464362852</v>
      </c>
      <c r="J36" s="45">
        <f>EnrlSC!AK36/('SC-Population'!D36+'SC-Population'!G36)%</f>
        <v>139.31034482758622</v>
      </c>
      <c r="K36" s="45">
        <f>EnrlSC!AL36/('SC-Population'!E36+'SC-Population'!H36)%</f>
        <v>151.55902004454342</v>
      </c>
      <c r="L36" s="45">
        <f>EnrlSC!AS36/'SC-Population'!I36%</f>
        <v>112.39669421487604</v>
      </c>
      <c r="M36" s="45">
        <f>EnrlSC!AT36/'SC-Population'!J36%</f>
        <v>143.56435643564356</v>
      </c>
      <c r="N36" s="45">
        <f>EnrlSC!AU36/'SC-Population'!K36%</f>
        <v>126.57657657657657</v>
      </c>
      <c r="O36" s="45">
        <f>EnrlSC!AV36/('SC-Population'!C36+'SC-Population'!F36+'SC-Population'!I36)%</f>
        <v>152.56849315068493</v>
      </c>
      <c r="P36" s="45">
        <f>EnrlSC!AW36/('SC-Population'!D36+'SC-Population'!G36+'SC-Population'!J36)%</f>
        <v>140.11194029850745</v>
      </c>
      <c r="Q36" s="45">
        <f>EnrlSC!AX36/('SC-Population'!E36+'SC-Population'!H36+'SC-Population'!K36)%</f>
        <v>146.60714285714286</v>
      </c>
      <c r="R36" s="45">
        <f>EnrlSC!BE36/'SC-Population'!L36%</f>
        <v>84.545454545454533</v>
      </c>
      <c r="S36" s="45">
        <f>EnrlSC!BF36/'SC-Population'!M36%</f>
        <v>81.818181818181827</v>
      </c>
      <c r="T36" s="45">
        <f>EnrlSC!BG36/'SC-Population'!N36%</f>
        <v>83.116883116883116</v>
      </c>
      <c r="U36" s="45">
        <f>(EnrlSC!AS36+EnrlSC!BE36)/('SC-Population'!L36+'SC-Population'!I36)%</f>
        <v>99.134199134199136</v>
      </c>
      <c r="V36" s="45">
        <f>(EnrlSC!AT36+EnrlSC!BF36)/('SC-Population'!M36+'SC-Population'!J36)%</f>
        <v>109.9099099099099</v>
      </c>
      <c r="W36" s="45">
        <f>(EnrlSC!AU36+EnrlSC!BG36)/('SC-Population'!N36+'SC-Population'!K36)%</f>
        <v>104.41501103752759</v>
      </c>
      <c r="X36" s="45">
        <f>EnrlSC!BH36/('SC-Population'!C36+'SC-Population'!F36+'SC-Population'!I36+'SC-Population'!L36)%</f>
        <v>141.78674351585013</v>
      </c>
      <c r="Y36" s="45">
        <f>EnrlSC!BI36/('SC-Population'!D36+'SC-Population'!G36+'SC-Population'!J36+'SC-Population'!M36)%</f>
        <v>129.3759512937595</v>
      </c>
      <c r="Z36" s="45">
        <f>EnrlSC!BJ36/('SC-Population'!E36+'SC-Population'!H36+'SC-Population'!K36+'SC-Population'!N36)%</f>
        <v>135.75129533678756</v>
      </c>
    </row>
    <row r="37" spans="1:26" s="35" customFormat="1" ht="18.75" customHeight="1">
      <c r="A37" s="25">
        <v>32</v>
      </c>
      <c r="B37" s="26" t="s">
        <v>42</v>
      </c>
      <c r="C37" s="45">
        <f>EnrlSC!U37/'SC-Population'!C37%</f>
        <v>123.96694214876034</v>
      </c>
      <c r="D37" s="45">
        <f>EnrlSC!V37/'SC-Population'!D37%</f>
        <v>107.39299610894942</v>
      </c>
      <c r="E37" s="45">
        <f>EnrlSC!W37/'SC-Population'!E37%</f>
        <v>115.4308617234469</v>
      </c>
      <c r="F37" s="45">
        <f>EnrlSC!AG37/'SC-Population'!F37%</f>
        <v>140.32258064516128</v>
      </c>
      <c r="G37" s="45">
        <f>EnrlSC!AH37/'SC-Population'!G37%</f>
        <v>129.16666666666669</v>
      </c>
      <c r="H37" s="45">
        <f>EnrlSC!AI37/'SC-Population'!H37%</f>
        <v>135.02824858757063</v>
      </c>
      <c r="I37" s="45">
        <f>EnrlSC!AJ37/('SC-Population'!C37+'SC-Population'!F37)%</f>
        <v>131.07476635514018</v>
      </c>
      <c r="J37" s="45">
        <f>EnrlSC!AK37/('SC-Population'!D37+'SC-Population'!G37)%</f>
        <v>116</v>
      </c>
      <c r="K37" s="45">
        <f>EnrlSC!AL37/('SC-Population'!E37+'SC-Population'!H37)%</f>
        <v>123.56389214536929</v>
      </c>
      <c r="L37" s="45">
        <f>EnrlSC!AS37/'SC-Population'!I37%</f>
        <v>144.88188976377953</v>
      </c>
      <c r="M37" s="45">
        <f>EnrlSC!AT37/'SC-Population'!J37%</f>
        <v>140.19607843137254</v>
      </c>
      <c r="N37" s="45">
        <f>EnrlSC!AU37/'SC-Population'!K37%</f>
        <v>142.7947598253275</v>
      </c>
      <c r="O37" s="45">
        <f>EnrlSC!AV37/('SC-Population'!C37+'SC-Population'!F37+'SC-Population'!I37)%</f>
        <v>134.23423423423424</v>
      </c>
      <c r="P37" s="45">
        <f>EnrlSC!AW37/('SC-Population'!D37+'SC-Population'!G37+'SC-Population'!J37)%</f>
        <v>120.68311195445921</v>
      </c>
      <c r="Q37" s="45">
        <f>EnrlSC!AX37/('SC-Population'!E37+'SC-Population'!H37+'SC-Population'!K37)%</f>
        <v>127.63401109057301</v>
      </c>
      <c r="R37" s="45">
        <f>EnrlSC!BE37/'SC-Population'!L37%</f>
        <v>81.756756756756758</v>
      </c>
      <c r="S37" s="45">
        <f>EnrlSC!BF37/'SC-Population'!M37%</f>
        <v>108</v>
      </c>
      <c r="T37" s="45">
        <f>EnrlSC!BG37/'SC-Population'!N37%</f>
        <v>92.338709677419359</v>
      </c>
      <c r="U37" s="45">
        <f>(EnrlSC!AS37+EnrlSC!BE37)/('SC-Population'!L37+'SC-Population'!I37)%</f>
        <v>110.90909090909091</v>
      </c>
      <c r="V37" s="45">
        <f>(EnrlSC!AT37+EnrlSC!BF37)/('SC-Population'!M37+'SC-Population'!J37)%</f>
        <v>124.25742574257426</v>
      </c>
      <c r="W37" s="45">
        <f>(EnrlSC!AU37+EnrlSC!BG37)/('SC-Population'!N37+'SC-Population'!K37)%</f>
        <v>116.56184486373166</v>
      </c>
      <c r="X37" s="45">
        <f>EnrlSC!BH37/('SC-Population'!C37+'SC-Population'!F37+'SC-Population'!I37+'SC-Population'!L37)%</f>
        <v>123.18634423897582</v>
      </c>
      <c r="Y37" s="45">
        <f>EnrlSC!BI37/('SC-Population'!D37+'SC-Population'!G37+'SC-Population'!J37+'SC-Population'!M37)%</f>
        <v>118.66028708133972</v>
      </c>
      <c r="Z37" s="45">
        <f>EnrlSC!BJ37/('SC-Population'!E37+'SC-Population'!H37+'SC-Population'!K37+'SC-Population'!N37)%</f>
        <v>121.05263157894736</v>
      </c>
    </row>
    <row r="38" spans="1:26" s="35" customFormat="1" ht="18.75" customHeight="1">
      <c r="A38" s="25">
        <v>33</v>
      </c>
      <c r="B38" s="26" t="s">
        <v>43</v>
      </c>
      <c r="C38" s="45">
        <f>EnrlSC!U38/'SC-Population'!C38%</f>
        <v>66.441601594949333</v>
      </c>
      <c r="D38" s="45">
        <f>EnrlSC!V38/'SC-Population'!D38%</f>
        <v>68.237742407610682</v>
      </c>
      <c r="E38" s="45">
        <f>EnrlSC!W38/'SC-Population'!E38%</f>
        <v>67.278162600875518</v>
      </c>
      <c r="F38" s="45">
        <f>EnrlSC!AG38/'SC-Population'!F38%</f>
        <v>49.373140786413543</v>
      </c>
      <c r="G38" s="45">
        <f>EnrlSC!AH38/'SC-Population'!G38%</f>
        <v>56.931442481198452</v>
      </c>
      <c r="H38" s="45">
        <f>EnrlSC!AI38/'SC-Population'!H38%</f>
        <v>52.939126261298838</v>
      </c>
      <c r="I38" s="45">
        <f>EnrlSC!AJ38/('SC-Population'!C38+'SC-Population'!F38)%</f>
        <v>59.946072781162528</v>
      </c>
      <c r="J38" s="45">
        <f>EnrlSC!AK38/('SC-Population'!D38+'SC-Population'!G38)%</f>
        <v>63.870189046440579</v>
      </c>
      <c r="K38" s="45">
        <f>EnrlSC!AL38/('SC-Population'!E38+'SC-Population'!H38)%</f>
        <v>61.782835570873935</v>
      </c>
      <c r="L38" s="45">
        <f>EnrlSC!AS38/'SC-Population'!I38%</f>
        <v>65.997196851848997</v>
      </c>
      <c r="M38" s="45">
        <f>EnrlSC!AT38/'SC-Population'!J38%</f>
        <v>74.189980818745781</v>
      </c>
      <c r="N38" s="45">
        <f>EnrlSC!AU38/'SC-Population'!K38%</f>
        <v>69.85813870158637</v>
      </c>
      <c r="O38" s="45">
        <f>EnrlSC!AV38/('SC-Population'!C38+'SC-Population'!F38+'SC-Population'!I38)%</f>
        <v>61.222295490941931</v>
      </c>
      <c r="P38" s="45">
        <f>EnrlSC!AW38/('SC-Population'!D38+'SC-Population'!G38+'SC-Population'!J38)%</f>
        <v>66.0687857568863</v>
      </c>
      <c r="Q38" s="45">
        <f>EnrlSC!AX38/('SC-Population'!E38+'SC-Population'!H38+'SC-Population'!K38)%</f>
        <v>63.494071337232285</v>
      </c>
      <c r="R38" s="45">
        <f>EnrlSC!BE38/'SC-Population'!L38%</f>
        <v>45.796917945708906</v>
      </c>
      <c r="S38" s="45">
        <f>EnrlSC!BF38/'SC-Population'!M38%</f>
        <v>55.855661967789374</v>
      </c>
      <c r="T38" s="45">
        <f>EnrlSC!BG38/'SC-Population'!N38%</f>
        <v>50.450547626949884</v>
      </c>
      <c r="U38" s="45">
        <f>(EnrlSC!AS38+EnrlSC!BE38)/('SC-Population'!L38+'SC-Population'!I38)%</f>
        <v>55.909907548057269</v>
      </c>
      <c r="V38" s="45">
        <f>(EnrlSC!AT38+EnrlSC!BF38)/('SC-Population'!M38+'SC-Population'!J38)%</f>
        <v>65.193131914069724</v>
      </c>
      <c r="W38" s="45">
        <f>(EnrlSC!AU38+EnrlSC!BG38)/('SC-Population'!N38+'SC-Population'!K38)%</f>
        <v>60.245113350540045</v>
      </c>
      <c r="X38" s="45">
        <f>EnrlSC!BH38/('SC-Population'!C38+'SC-Population'!F38+'SC-Population'!I38+'SC-Population'!L38)%</f>
        <v>58.541259067816398</v>
      </c>
      <c r="Y38" s="45">
        <f>EnrlSC!BI38/('SC-Population'!D38+'SC-Population'!G38+'SC-Population'!J38+'SC-Population'!M38)%</f>
        <v>64.329350243139558</v>
      </c>
      <c r="Z38" s="45">
        <f>EnrlSC!BJ38/('SC-Population'!E38+'SC-Population'!H38+'SC-Population'!K38+'SC-Population'!N38)%</f>
        <v>61.248326768981975</v>
      </c>
    </row>
    <row r="39" spans="1:26" s="35" customFormat="1" ht="18.75" customHeight="1">
      <c r="A39" s="25">
        <v>34</v>
      </c>
      <c r="B39" s="26" t="s">
        <v>44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s="35" customFormat="1" ht="18.75" customHeight="1">
      <c r="A40" s="25">
        <v>35</v>
      </c>
      <c r="B40" s="26" t="s">
        <v>45</v>
      </c>
      <c r="C40" s="45">
        <f>EnrlSC!U40/'SC-Population'!C40%</f>
        <v>112.30102869518139</v>
      </c>
      <c r="D40" s="45">
        <f>EnrlSC!V40/'SC-Population'!D40%</f>
        <v>109.61666297363172</v>
      </c>
      <c r="E40" s="45">
        <f>EnrlSC!W40/'SC-Population'!E40%</f>
        <v>110.97420732709051</v>
      </c>
      <c r="F40" s="45">
        <f>EnrlSC!AG40/'SC-Population'!F40%</f>
        <v>124.52862826500605</v>
      </c>
      <c r="G40" s="45">
        <f>EnrlSC!AH40/'SC-Population'!G40%</f>
        <v>124.10365637202698</v>
      </c>
      <c r="H40" s="45">
        <f>EnrlSC!AI40/'SC-Population'!H40%</f>
        <v>124.31887866841875</v>
      </c>
      <c r="I40" s="45">
        <f>EnrlSC!AJ40/('SC-Population'!C40+'SC-Population'!F40)%</f>
        <v>117.00852424080981</v>
      </c>
      <c r="J40" s="45">
        <f>EnrlSC!AK40/('SC-Population'!D40+'SC-Population'!G40)%</f>
        <v>115.18417462482947</v>
      </c>
      <c r="K40" s="45">
        <f>EnrlSC!AL40/('SC-Population'!E40+'SC-Population'!H40)%</f>
        <v>116.10729208788247</v>
      </c>
      <c r="L40" s="45">
        <f>EnrlSC!AS40/'SC-Population'!I40%</f>
        <v>123.83025027203483</v>
      </c>
      <c r="M40" s="45">
        <f>EnrlSC!AT40/'SC-Population'!J40%</f>
        <v>122.74584581857805</v>
      </c>
      <c r="N40" s="45">
        <f>EnrlSC!AU40/'SC-Population'!K40%</f>
        <v>123.28841704096911</v>
      </c>
      <c r="O40" s="45">
        <f>EnrlSC!AV40/('SC-Population'!C40+'SC-Population'!F40+'SC-Population'!I40)%</f>
        <v>118.35009629788145</v>
      </c>
      <c r="P40" s="45">
        <f>EnrlSC!AW40/('SC-Population'!D40+'SC-Population'!G40+'SC-Population'!J40)%</f>
        <v>116.69848889858709</v>
      </c>
      <c r="Q40" s="45">
        <f>EnrlSC!AX40/('SC-Population'!E40+'SC-Population'!H40+'SC-Population'!K40)%</f>
        <v>117.53234475866353</v>
      </c>
      <c r="R40" s="45">
        <f>EnrlSC!BE40/'SC-Population'!L40%</f>
        <v>62.7375296912114</v>
      </c>
      <c r="S40" s="45">
        <f>EnrlSC!BF40/'SC-Population'!M40%</f>
        <v>76.30952380952381</v>
      </c>
      <c r="T40" s="45">
        <f>EnrlSC!BG40/'SC-Population'!N40%</f>
        <v>69.515457788347206</v>
      </c>
      <c r="U40" s="45">
        <f>(EnrlSC!AS40+EnrlSC!BE40)/('SC-Population'!L40+'SC-Population'!I40)%</f>
        <v>94.619534355479843</v>
      </c>
      <c r="V40" s="45">
        <f>(EnrlSC!AT40+EnrlSC!BF40)/('SC-Population'!M40+'SC-Population'!J40)%</f>
        <v>100.55468638884938</v>
      </c>
      <c r="W40" s="45">
        <f>(EnrlSC!AU40+EnrlSC!BG40)/('SC-Population'!N40+'SC-Population'!K40)%</f>
        <v>97.584369449378329</v>
      </c>
      <c r="X40" s="45">
        <f>EnrlSC!BH40/('SC-Population'!C40+'SC-Population'!F40+'SC-Population'!I40+'SC-Population'!L40)%</f>
        <v>109.85947416137806</v>
      </c>
      <c r="Y40" s="45">
        <f>EnrlSC!BI40/('SC-Population'!D40+'SC-Population'!G40+'SC-Population'!J40+'SC-Population'!M40)%</f>
        <v>110.44211885113641</v>
      </c>
      <c r="Z40" s="45">
        <f>EnrlSC!BJ40/('SC-Population'!E40+'SC-Population'!H40+'SC-Population'!K40+'SC-Population'!N40)%</f>
        <v>110.14833946652648</v>
      </c>
    </row>
    <row r="41" spans="1:26" s="87" customFormat="1" ht="18.75" customHeight="1">
      <c r="A41" s="286" t="s">
        <v>46</v>
      </c>
      <c r="B41" s="286"/>
      <c r="C41" s="92">
        <f>EnrlSC!U41/'SC-Population'!C41%</f>
        <v>121.69898227506687</v>
      </c>
      <c r="D41" s="92">
        <f>EnrlSC!V41/'SC-Population'!D41%</f>
        <v>123.56258813167389</v>
      </c>
      <c r="E41" s="92">
        <f>EnrlSC!W41/'SC-Population'!E41%</f>
        <v>122.59433025532607</v>
      </c>
      <c r="F41" s="92">
        <f>EnrlSC!AG41/'SC-Population'!F41%</f>
        <v>89.75613515697809</v>
      </c>
      <c r="G41" s="92">
        <f>EnrlSC!AH41/'SC-Population'!G41%</f>
        <v>91.282819888421741</v>
      </c>
      <c r="H41" s="92">
        <f>EnrlSC!AI41/'SC-Population'!H41%</f>
        <v>90.487839038874796</v>
      </c>
      <c r="I41" s="92">
        <f>EnrlSC!AJ41/('SC-Population'!C41+'SC-Population'!F41)%</f>
        <v>109.97965972479702</v>
      </c>
      <c r="J41" s="92">
        <f>EnrlSC!AK41/('SC-Population'!D41+'SC-Population'!G41)%</f>
        <v>111.75454425247624</v>
      </c>
      <c r="K41" s="92">
        <f>EnrlSC!AL41/('SC-Population'!E41+'SC-Population'!H41)%</f>
        <v>110.831626874938</v>
      </c>
      <c r="L41" s="92">
        <f>EnrlSC!AS41/'SC-Population'!I41%</f>
        <v>74.462372590321081</v>
      </c>
      <c r="M41" s="92">
        <f>EnrlSC!AT41/'SC-Population'!J41%</f>
        <v>72.917545039747083</v>
      </c>
      <c r="N41" s="92">
        <f>EnrlSC!AU41/'SC-Population'!K41%</f>
        <v>73.731826249641287</v>
      </c>
      <c r="O41" s="92">
        <f>EnrlSC!AV41/('SC-Population'!C41+'SC-Population'!F41+'SC-Population'!I41)%</f>
        <v>102.96715383118234</v>
      </c>
      <c r="P41" s="92">
        <f>EnrlSC!AW41/('SC-Population'!D41+'SC-Population'!G41+'SC-Population'!J41)%</f>
        <v>104.26060385521231</v>
      </c>
      <c r="Q41" s="92">
        <f>EnrlSC!AX41/('SC-Population'!E41+'SC-Population'!H41+'SC-Population'!K41)%</f>
        <v>103.58622916727496</v>
      </c>
      <c r="R41" s="92">
        <f>EnrlSC!BE41/'SC-Population'!L41%</f>
        <v>48.255998382495804</v>
      </c>
      <c r="S41" s="92">
        <f>EnrlSC!BF41/'SC-Population'!M41%</f>
        <v>48.064471652629123</v>
      </c>
      <c r="T41" s="92">
        <f>EnrlSC!BG41/'SC-Population'!N41%</f>
        <v>48.167254163614466</v>
      </c>
      <c r="U41" s="92">
        <f>(EnrlSC!AS41+EnrlSC!BE41)/('SC-Population'!L41+'SC-Population'!I41)%</f>
        <v>62.076731720517017</v>
      </c>
      <c r="V41" s="92">
        <f>(EnrlSC!AT41+EnrlSC!BF41)/('SC-Population'!M41+'SC-Population'!J41)%</f>
        <v>61.408748243413015</v>
      </c>
      <c r="W41" s="92">
        <f>(EnrlSC!AU41+EnrlSC!BG41)/('SC-Population'!N41+'SC-Population'!K41)%</f>
        <v>61.763828858106372</v>
      </c>
      <c r="X41" s="92">
        <f>EnrlSC!BH41/('SC-Population'!C41+'SC-Population'!F41+'SC-Population'!I41+'SC-Population'!L41)%</f>
        <v>94.742015891940937</v>
      </c>
      <c r="Y41" s="92">
        <f>EnrlSC!BI41/('SC-Population'!D41+'SC-Population'!G41+'SC-Population'!J41+'SC-Population'!M41)%</f>
        <v>96.24286719102831</v>
      </c>
      <c r="Z41" s="92">
        <f>EnrlSC!BJ41/('SC-Population'!E41+'SC-Population'!H41+'SC-Population'!K41+'SC-Population'!N41)%</f>
        <v>95.456996170414385</v>
      </c>
    </row>
    <row r="42" spans="1:26" s="262" customFormat="1"/>
  </sheetData>
  <mergeCells count="11">
    <mergeCell ref="O3:Q3"/>
    <mergeCell ref="R3:T3"/>
    <mergeCell ref="U3:W3"/>
    <mergeCell ref="X3:Z3"/>
    <mergeCell ref="A41:B41"/>
    <mergeCell ref="A3:A4"/>
    <mergeCell ref="B3:B4"/>
    <mergeCell ref="C3:E3"/>
    <mergeCell ref="F3:H3"/>
    <mergeCell ref="I3:K3"/>
    <mergeCell ref="L3:N3"/>
  </mergeCells>
  <printOptions horizontalCentered="1"/>
  <pageMargins left="0.2" right="0.22" top="0.44" bottom="0.59" header="0.2" footer="0.33"/>
  <pageSetup paperSize="9" scale="98" firstPageNumber="52" orientation="portrait" useFirstPageNumber="1" r:id="rId1"/>
  <headerFooter alignWithMargins="0">
    <oddFooter>&amp;LSTATISTICS OF SCHOOL EDUCATION 2011-12&amp;R&amp;P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BJ41"/>
  <sheetViews>
    <sheetView view="pageBreakPreview" topLeftCell="O34" zoomScaleSheetLayoutView="100" workbookViewId="0">
      <selection activeCell="AA45" sqref="AA45"/>
    </sheetView>
  </sheetViews>
  <sheetFormatPr defaultColWidth="8.85546875" defaultRowHeight="15.75"/>
  <cols>
    <col min="1" max="1" width="6.140625" style="5" customWidth="1"/>
    <col min="2" max="2" width="19.5703125" style="5" customWidth="1"/>
    <col min="3" max="26" width="11.5703125" style="5" customWidth="1"/>
    <col min="27" max="109" width="8.85546875" style="5"/>
    <col min="110" max="110" width="6.140625" style="5" customWidth="1"/>
    <col min="111" max="111" width="20.28515625" style="5" customWidth="1"/>
    <col min="112" max="112" width="12.42578125" style="5" customWidth="1"/>
    <col min="113" max="113" width="13" style="5" customWidth="1"/>
    <col min="114" max="114" width="12.5703125" style="5" customWidth="1"/>
    <col min="115" max="128" width="11.7109375" style="5" customWidth="1"/>
    <col min="129" max="129" width="12.28515625" style="5" customWidth="1"/>
    <col min="130" max="130" width="11.7109375" style="5" customWidth="1"/>
    <col min="131" max="131" width="12.85546875" style="5" customWidth="1"/>
    <col min="132" max="132" width="11.7109375" style="5" customWidth="1"/>
    <col min="133" max="133" width="12.7109375" style="5" customWidth="1"/>
    <col min="134" max="134" width="11.7109375" style="5" customWidth="1"/>
    <col min="135" max="135" width="13" style="5" customWidth="1"/>
    <col min="136" max="147" width="11.7109375" style="5" customWidth="1"/>
    <col min="148" max="148" width="12.5703125" style="5" customWidth="1"/>
    <col min="149" max="149" width="11.7109375" style="5" customWidth="1"/>
    <col min="150" max="150" width="13" style="5" customWidth="1"/>
    <col min="151" max="156" width="11.7109375" style="5" customWidth="1"/>
    <col min="157" max="157" width="13.7109375" style="5" customWidth="1"/>
    <col min="158" max="158" width="13.140625" style="5" customWidth="1"/>
    <col min="159" max="162" width="13" style="5" customWidth="1"/>
    <col min="163" max="169" width="11.7109375" style="5" customWidth="1"/>
    <col min="170" max="170" width="10.85546875" style="5" customWidth="1"/>
    <col min="171" max="171" width="11.7109375" style="5" customWidth="1"/>
    <col min="172" max="174" width="22.7109375" style="5" customWidth="1"/>
    <col min="175" max="177" width="20.7109375" style="5" customWidth="1"/>
    <col min="178" max="365" width="8.85546875" style="5"/>
    <col min="366" max="366" width="6.140625" style="5" customWidth="1"/>
    <col min="367" max="367" width="20.28515625" style="5" customWidth="1"/>
    <col min="368" max="368" width="12.42578125" style="5" customWidth="1"/>
    <col min="369" max="369" width="13" style="5" customWidth="1"/>
    <col min="370" max="370" width="12.5703125" style="5" customWidth="1"/>
    <col min="371" max="384" width="11.7109375" style="5" customWidth="1"/>
    <col min="385" max="385" width="12.28515625" style="5" customWidth="1"/>
    <col min="386" max="386" width="11.7109375" style="5" customWidth="1"/>
    <col min="387" max="387" width="12.85546875" style="5" customWidth="1"/>
    <col min="388" max="388" width="11.7109375" style="5" customWidth="1"/>
    <col min="389" max="389" width="12.7109375" style="5" customWidth="1"/>
    <col min="390" max="390" width="11.7109375" style="5" customWidth="1"/>
    <col min="391" max="391" width="13" style="5" customWidth="1"/>
    <col min="392" max="403" width="11.7109375" style="5" customWidth="1"/>
    <col min="404" max="404" width="12.5703125" style="5" customWidth="1"/>
    <col min="405" max="405" width="11.7109375" style="5" customWidth="1"/>
    <col min="406" max="406" width="13" style="5" customWidth="1"/>
    <col min="407" max="412" width="11.7109375" style="5" customWidth="1"/>
    <col min="413" max="413" width="13.7109375" style="5" customWidth="1"/>
    <col min="414" max="414" width="13.140625" style="5" customWidth="1"/>
    <col min="415" max="418" width="13" style="5" customWidth="1"/>
    <col min="419" max="425" width="11.7109375" style="5" customWidth="1"/>
    <col min="426" max="426" width="10.85546875" style="5" customWidth="1"/>
    <col min="427" max="427" width="11.7109375" style="5" customWidth="1"/>
    <col min="428" max="430" width="22.7109375" style="5" customWidth="1"/>
    <col min="431" max="433" width="20.7109375" style="5" customWidth="1"/>
    <col min="434" max="621" width="8.85546875" style="5"/>
    <col min="622" max="622" width="6.140625" style="5" customWidth="1"/>
    <col min="623" max="623" width="20.28515625" style="5" customWidth="1"/>
    <col min="624" max="624" width="12.42578125" style="5" customWidth="1"/>
    <col min="625" max="625" width="13" style="5" customWidth="1"/>
    <col min="626" max="626" width="12.5703125" style="5" customWidth="1"/>
    <col min="627" max="640" width="11.7109375" style="5" customWidth="1"/>
    <col min="641" max="641" width="12.28515625" style="5" customWidth="1"/>
    <col min="642" max="642" width="11.7109375" style="5" customWidth="1"/>
    <col min="643" max="643" width="12.85546875" style="5" customWidth="1"/>
    <col min="644" max="644" width="11.7109375" style="5" customWidth="1"/>
    <col min="645" max="645" width="12.7109375" style="5" customWidth="1"/>
    <col min="646" max="646" width="11.7109375" style="5" customWidth="1"/>
    <col min="647" max="647" width="13" style="5" customWidth="1"/>
    <col min="648" max="659" width="11.7109375" style="5" customWidth="1"/>
    <col min="660" max="660" width="12.5703125" style="5" customWidth="1"/>
    <col min="661" max="661" width="11.7109375" style="5" customWidth="1"/>
    <col min="662" max="662" width="13" style="5" customWidth="1"/>
    <col min="663" max="668" width="11.7109375" style="5" customWidth="1"/>
    <col min="669" max="669" width="13.7109375" style="5" customWidth="1"/>
    <col min="670" max="670" width="13.140625" style="5" customWidth="1"/>
    <col min="671" max="674" width="13" style="5" customWidth="1"/>
    <col min="675" max="681" width="11.7109375" style="5" customWidth="1"/>
    <col min="682" max="682" width="10.85546875" style="5" customWidth="1"/>
    <col min="683" max="683" width="11.7109375" style="5" customWidth="1"/>
    <col min="684" max="686" width="22.7109375" style="5" customWidth="1"/>
    <col min="687" max="689" width="20.7109375" style="5" customWidth="1"/>
    <col min="690" max="877" width="8.85546875" style="5"/>
    <col min="878" max="878" width="6.140625" style="5" customWidth="1"/>
    <col min="879" max="879" width="20.28515625" style="5" customWidth="1"/>
    <col min="880" max="880" width="12.42578125" style="5" customWidth="1"/>
    <col min="881" max="881" width="13" style="5" customWidth="1"/>
    <col min="882" max="882" width="12.5703125" style="5" customWidth="1"/>
    <col min="883" max="896" width="11.7109375" style="5" customWidth="1"/>
    <col min="897" max="897" width="12.28515625" style="5" customWidth="1"/>
    <col min="898" max="898" width="11.7109375" style="5" customWidth="1"/>
    <col min="899" max="899" width="12.85546875" style="5" customWidth="1"/>
    <col min="900" max="900" width="11.7109375" style="5" customWidth="1"/>
    <col min="901" max="901" width="12.7109375" style="5" customWidth="1"/>
    <col min="902" max="902" width="11.7109375" style="5" customWidth="1"/>
    <col min="903" max="903" width="13" style="5" customWidth="1"/>
    <col min="904" max="915" width="11.7109375" style="5" customWidth="1"/>
    <col min="916" max="916" width="12.5703125" style="5" customWidth="1"/>
    <col min="917" max="917" width="11.7109375" style="5" customWidth="1"/>
    <col min="918" max="918" width="13" style="5" customWidth="1"/>
    <col min="919" max="924" width="11.7109375" style="5" customWidth="1"/>
    <col min="925" max="925" width="13.7109375" style="5" customWidth="1"/>
    <col min="926" max="926" width="13.140625" style="5" customWidth="1"/>
    <col min="927" max="930" width="13" style="5" customWidth="1"/>
    <col min="931" max="937" width="11.7109375" style="5" customWidth="1"/>
    <col min="938" max="938" width="10.85546875" style="5" customWidth="1"/>
    <col min="939" max="939" width="11.7109375" style="5" customWidth="1"/>
    <col min="940" max="942" width="22.7109375" style="5" customWidth="1"/>
    <col min="943" max="945" width="20.7109375" style="5" customWidth="1"/>
    <col min="946" max="1133" width="8.85546875" style="5"/>
    <col min="1134" max="1134" width="6.140625" style="5" customWidth="1"/>
    <col min="1135" max="1135" width="20.28515625" style="5" customWidth="1"/>
    <col min="1136" max="1136" width="12.42578125" style="5" customWidth="1"/>
    <col min="1137" max="1137" width="13" style="5" customWidth="1"/>
    <col min="1138" max="1138" width="12.5703125" style="5" customWidth="1"/>
    <col min="1139" max="1152" width="11.7109375" style="5" customWidth="1"/>
    <col min="1153" max="1153" width="12.28515625" style="5" customWidth="1"/>
    <col min="1154" max="1154" width="11.7109375" style="5" customWidth="1"/>
    <col min="1155" max="1155" width="12.85546875" style="5" customWidth="1"/>
    <col min="1156" max="1156" width="11.7109375" style="5" customWidth="1"/>
    <col min="1157" max="1157" width="12.7109375" style="5" customWidth="1"/>
    <col min="1158" max="1158" width="11.7109375" style="5" customWidth="1"/>
    <col min="1159" max="1159" width="13" style="5" customWidth="1"/>
    <col min="1160" max="1171" width="11.7109375" style="5" customWidth="1"/>
    <col min="1172" max="1172" width="12.5703125" style="5" customWidth="1"/>
    <col min="1173" max="1173" width="11.7109375" style="5" customWidth="1"/>
    <col min="1174" max="1174" width="13" style="5" customWidth="1"/>
    <col min="1175" max="1180" width="11.7109375" style="5" customWidth="1"/>
    <col min="1181" max="1181" width="13.7109375" style="5" customWidth="1"/>
    <col min="1182" max="1182" width="13.140625" style="5" customWidth="1"/>
    <col min="1183" max="1186" width="13" style="5" customWidth="1"/>
    <col min="1187" max="1193" width="11.7109375" style="5" customWidth="1"/>
    <col min="1194" max="1194" width="10.85546875" style="5" customWidth="1"/>
    <col min="1195" max="1195" width="11.7109375" style="5" customWidth="1"/>
    <col min="1196" max="1198" width="22.7109375" style="5" customWidth="1"/>
    <col min="1199" max="1201" width="20.7109375" style="5" customWidth="1"/>
    <col min="1202" max="1389" width="8.85546875" style="5"/>
    <col min="1390" max="1390" width="6.140625" style="5" customWidth="1"/>
    <col min="1391" max="1391" width="20.28515625" style="5" customWidth="1"/>
    <col min="1392" max="1392" width="12.42578125" style="5" customWidth="1"/>
    <col min="1393" max="1393" width="13" style="5" customWidth="1"/>
    <col min="1394" max="1394" width="12.5703125" style="5" customWidth="1"/>
    <col min="1395" max="1408" width="11.7109375" style="5" customWidth="1"/>
    <col min="1409" max="1409" width="12.28515625" style="5" customWidth="1"/>
    <col min="1410" max="1410" width="11.7109375" style="5" customWidth="1"/>
    <col min="1411" max="1411" width="12.85546875" style="5" customWidth="1"/>
    <col min="1412" max="1412" width="11.7109375" style="5" customWidth="1"/>
    <col min="1413" max="1413" width="12.7109375" style="5" customWidth="1"/>
    <col min="1414" max="1414" width="11.7109375" style="5" customWidth="1"/>
    <col min="1415" max="1415" width="13" style="5" customWidth="1"/>
    <col min="1416" max="1427" width="11.7109375" style="5" customWidth="1"/>
    <col min="1428" max="1428" width="12.5703125" style="5" customWidth="1"/>
    <col min="1429" max="1429" width="11.7109375" style="5" customWidth="1"/>
    <col min="1430" max="1430" width="13" style="5" customWidth="1"/>
    <col min="1431" max="1436" width="11.7109375" style="5" customWidth="1"/>
    <col min="1437" max="1437" width="13.7109375" style="5" customWidth="1"/>
    <col min="1438" max="1438" width="13.140625" style="5" customWidth="1"/>
    <col min="1439" max="1442" width="13" style="5" customWidth="1"/>
    <col min="1443" max="1449" width="11.7109375" style="5" customWidth="1"/>
    <col min="1450" max="1450" width="10.85546875" style="5" customWidth="1"/>
    <col min="1451" max="1451" width="11.7109375" style="5" customWidth="1"/>
    <col min="1452" max="1454" width="22.7109375" style="5" customWidth="1"/>
    <col min="1455" max="1457" width="20.7109375" style="5" customWidth="1"/>
    <col min="1458" max="1645" width="8.85546875" style="5"/>
    <col min="1646" max="1646" width="6.140625" style="5" customWidth="1"/>
    <col min="1647" max="1647" width="20.28515625" style="5" customWidth="1"/>
    <col min="1648" max="1648" width="12.42578125" style="5" customWidth="1"/>
    <col min="1649" max="1649" width="13" style="5" customWidth="1"/>
    <col min="1650" max="1650" width="12.5703125" style="5" customWidth="1"/>
    <col min="1651" max="1664" width="11.7109375" style="5" customWidth="1"/>
    <col min="1665" max="1665" width="12.28515625" style="5" customWidth="1"/>
    <col min="1666" max="1666" width="11.7109375" style="5" customWidth="1"/>
    <col min="1667" max="1667" width="12.85546875" style="5" customWidth="1"/>
    <col min="1668" max="1668" width="11.7109375" style="5" customWidth="1"/>
    <col min="1669" max="1669" width="12.7109375" style="5" customWidth="1"/>
    <col min="1670" max="1670" width="11.7109375" style="5" customWidth="1"/>
    <col min="1671" max="1671" width="13" style="5" customWidth="1"/>
    <col min="1672" max="1683" width="11.7109375" style="5" customWidth="1"/>
    <col min="1684" max="1684" width="12.5703125" style="5" customWidth="1"/>
    <col min="1685" max="1685" width="11.7109375" style="5" customWidth="1"/>
    <col min="1686" max="1686" width="13" style="5" customWidth="1"/>
    <col min="1687" max="1692" width="11.7109375" style="5" customWidth="1"/>
    <col min="1693" max="1693" width="13.7109375" style="5" customWidth="1"/>
    <col min="1694" max="1694" width="13.140625" style="5" customWidth="1"/>
    <col min="1695" max="1698" width="13" style="5" customWidth="1"/>
    <col min="1699" max="1705" width="11.7109375" style="5" customWidth="1"/>
    <col min="1706" max="1706" width="10.85546875" style="5" customWidth="1"/>
    <col min="1707" max="1707" width="11.7109375" style="5" customWidth="1"/>
    <col min="1708" max="1710" width="22.7109375" style="5" customWidth="1"/>
    <col min="1711" max="1713" width="20.7109375" style="5" customWidth="1"/>
    <col min="1714" max="1901" width="8.85546875" style="5"/>
    <col min="1902" max="1902" width="6.140625" style="5" customWidth="1"/>
    <col min="1903" max="1903" width="20.28515625" style="5" customWidth="1"/>
    <col min="1904" max="1904" width="12.42578125" style="5" customWidth="1"/>
    <col min="1905" max="1905" width="13" style="5" customWidth="1"/>
    <col min="1906" max="1906" width="12.5703125" style="5" customWidth="1"/>
    <col min="1907" max="1920" width="11.7109375" style="5" customWidth="1"/>
    <col min="1921" max="1921" width="12.28515625" style="5" customWidth="1"/>
    <col min="1922" max="1922" width="11.7109375" style="5" customWidth="1"/>
    <col min="1923" max="1923" width="12.85546875" style="5" customWidth="1"/>
    <col min="1924" max="1924" width="11.7109375" style="5" customWidth="1"/>
    <col min="1925" max="1925" width="12.7109375" style="5" customWidth="1"/>
    <col min="1926" max="1926" width="11.7109375" style="5" customWidth="1"/>
    <col min="1927" max="1927" width="13" style="5" customWidth="1"/>
    <col min="1928" max="1939" width="11.7109375" style="5" customWidth="1"/>
    <col min="1940" max="1940" width="12.5703125" style="5" customWidth="1"/>
    <col min="1941" max="1941" width="11.7109375" style="5" customWidth="1"/>
    <col min="1942" max="1942" width="13" style="5" customWidth="1"/>
    <col min="1943" max="1948" width="11.7109375" style="5" customWidth="1"/>
    <col min="1949" max="1949" width="13.7109375" style="5" customWidth="1"/>
    <col min="1950" max="1950" width="13.140625" style="5" customWidth="1"/>
    <col min="1951" max="1954" width="13" style="5" customWidth="1"/>
    <col min="1955" max="1961" width="11.7109375" style="5" customWidth="1"/>
    <col min="1962" max="1962" width="10.85546875" style="5" customWidth="1"/>
    <col min="1963" max="1963" width="11.7109375" style="5" customWidth="1"/>
    <col min="1964" max="1966" width="22.7109375" style="5" customWidth="1"/>
    <col min="1967" max="1969" width="20.7109375" style="5" customWidth="1"/>
    <col min="1970" max="2157" width="8.85546875" style="5"/>
    <col min="2158" max="2158" width="6.140625" style="5" customWidth="1"/>
    <col min="2159" max="2159" width="20.28515625" style="5" customWidth="1"/>
    <col min="2160" max="2160" width="12.42578125" style="5" customWidth="1"/>
    <col min="2161" max="2161" width="13" style="5" customWidth="1"/>
    <col min="2162" max="2162" width="12.5703125" style="5" customWidth="1"/>
    <col min="2163" max="2176" width="11.7109375" style="5" customWidth="1"/>
    <col min="2177" max="2177" width="12.28515625" style="5" customWidth="1"/>
    <col min="2178" max="2178" width="11.7109375" style="5" customWidth="1"/>
    <col min="2179" max="2179" width="12.85546875" style="5" customWidth="1"/>
    <col min="2180" max="2180" width="11.7109375" style="5" customWidth="1"/>
    <col min="2181" max="2181" width="12.7109375" style="5" customWidth="1"/>
    <col min="2182" max="2182" width="11.7109375" style="5" customWidth="1"/>
    <col min="2183" max="2183" width="13" style="5" customWidth="1"/>
    <col min="2184" max="2195" width="11.7109375" style="5" customWidth="1"/>
    <col min="2196" max="2196" width="12.5703125" style="5" customWidth="1"/>
    <col min="2197" max="2197" width="11.7109375" style="5" customWidth="1"/>
    <col min="2198" max="2198" width="13" style="5" customWidth="1"/>
    <col min="2199" max="2204" width="11.7109375" style="5" customWidth="1"/>
    <col min="2205" max="2205" width="13.7109375" style="5" customWidth="1"/>
    <col min="2206" max="2206" width="13.140625" style="5" customWidth="1"/>
    <col min="2207" max="2210" width="13" style="5" customWidth="1"/>
    <col min="2211" max="2217" width="11.7109375" style="5" customWidth="1"/>
    <col min="2218" max="2218" width="10.85546875" style="5" customWidth="1"/>
    <col min="2219" max="2219" width="11.7109375" style="5" customWidth="1"/>
    <col min="2220" max="2222" width="22.7109375" style="5" customWidth="1"/>
    <col min="2223" max="2225" width="20.7109375" style="5" customWidth="1"/>
    <col min="2226" max="2413" width="8.85546875" style="5"/>
    <col min="2414" max="2414" width="6.140625" style="5" customWidth="1"/>
    <col min="2415" max="2415" width="20.28515625" style="5" customWidth="1"/>
    <col min="2416" max="2416" width="12.42578125" style="5" customWidth="1"/>
    <col min="2417" max="2417" width="13" style="5" customWidth="1"/>
    <col min="2418" max="2418" width="12.5703125" style="5" customWidth="1"/>
    <col min="2419" max="2432" width="11.7109375" style="5" customWidth="1"/>
    <col min="2433" max="2433" width="12.28515625" style="5" customWidth="1"/>
    <col min="2434" max="2434" width="11.7109375" style="5" customWidth="1"/>
    <col min="2435" max="2435" width="12.85546875" style="5" customWidth="1"/>
    <col min="2436" max="2436" width="11.7109375" style="5" customWidth="1"/>
    <col min="2437" max="2437" width="12.7109375" style="5" customWidth="1"/>
    <col min="2438" max="2438" width="11.7109375" style="5" customWidth="1"/>
    <col min="2439" max="2439" width="13" style="5" customWidth="1"/>
    <col min="2440" max="2451" width="11.7109375" style="5" customWidth="1"/>
    <col min="2452" max="2452" width="12.5703125" style="5" customWidth="1"/>
    <col min="2453" max="2453" width="11.7109375" style="5" customWidth="1"/>
    <col min="2454" max="2454" width="13" style="5" customWidth="1"/>
    <col min="2455" max="2460" width="11.7109375" style="5" customWidth="1"/>
    <col min="2461" max="2461" width="13.7109375" style="5" customWidth="1"/>
    <col min="2462" max="2462" width="13.140625" style="5" customWidth="1"/>
    <col min="2463" max="2466" width="13" style="5" customWidth="1"/>
    <col min="2467" max="2473" width="11.7109375" style="5" customWidth="1"/>
    <col min="2474" max="2474" width="10.85546875" style="5" customWidth="1"/>
    <col min="2475" max="2475" width="11.7109375" style="5" customWidth="1"/>
    <col min="2476" max="2478" width="22.7109375" style="5" customWidth="1"/>
    <col min="2479" max="2481" width="20.7109375" style="5" customWidth="1"/>
    <col min="2482" max="2669" width="8.85546875" style="5"/>
    <col min="2670" max="2670" width="6.140625" style="5" customWidth="1"/>
    <col min="2671" max="2671" width="20.28515625" style="5" customWidth="1"/>
    <col min="2672" max="2672" width="12.42578125" style="5" customWidth="1"/>
    <col min="2673" max="2673" width="13" style="5" customWidth="1"/>
    <col min="2674" max="2674" width="12.5703125" style="5" customWidth="1"/>
    <col min="2675" max="2688" width="11.7109375" style="5" customWidth="1"/>
    <col min="2689" max="2689" width="12.28515625" style="5" customWidth="1"/>
    <col min="2690" max="2690" width="11.7109375" style="5" customWidth="1"/>
    <col min="2691" max="2691" width="12.85546875" style="5" customWidth="1"/>
    <col min="2692" max="2692" width="11.7109375" style="5" customWidth="1"/>
    <col min="2693" max="2693" width="12.7109375" style="5" customWidth="1"/>
    <col min="2694" max="2694" width="11.7109375" style="5" customWidth="1"/>
    <col min="2695" max="2695" width="13" style="5" customWidth="1"/>
    <col min="2696" max="2707" width="11.7109375" style="5" customWidth="1"/>
    <col min="2708" max="2708" width="12.5703125" style="5" customWidth="1"/>
    <col min="2709" max="2709" width="11.7109375" style="5" customWidth="1"/>
    <col min="2710" max="2710" width="13" style="5" customWidth="1"/>
    <col min="2711" max="2716" width="11.7109375" style="5" customWidth="1"/>
    <col min="2717" max="2717" width="13.7109375" style="5" customWidth="1"/>
    <col min="2718" max="2718" width="13.140625" style="5" customWidth="1"/>
    <col min="2719" max="2722" width="13" style="5" customWidth="1"/>
    <col min="2723" max="2729" width="11.7109375" style="5" customWidth="1"/>
    <col min="2730" max="2730" width="10.85546875" style="5" customWidth="1"/>
    <col min="2731" max="2731" width="11.7109375" style="5" customWidth="1"/>
    <col min="2732" max="2734" width="22.7109375" style="5" customWidth="1"/>
    <col min="2735" max="2737" width="20.7109375" style="5" customWidth="1"/>
    <col min="2738" max="2925" width="8.85546875" style="5"/>
    <col min="2926" max="2926" width="6.140625" style="5" customWidth="1"/>
    <col min="2927" max="2927" width="20.28515625" style="5" customWidth="1"/>
    <col min="2928" max="2928" width="12.42578125" style="5" customWidth="1"/>
    <col min="2929" max="2929" width="13" style="5" customWidth="1"/>
    <col min="2930" max="2930" width="12.5703125" style="5" customWidth="1"/>
    <col min="2931" max="2944" width="11.7109375" style="5" customWidth="1"/>
    <col min="2945" max="2945" width="12.28515625" style="5" customWidth="1"/>
    <col min="2946" max="2946" width="11.7109375" style="5" customWidth="1"/>
    <col min="2947" max="2947" width="12.85546875" style="5" customWidth="1"/>
    <col min="2948" max="2948" width="11.7109375" style="5" customWidth="1"/>
    <col min="2949" max="2949" width="12.7109375" style="5" customWidth="1"/>
    <col min="2950" max="2950" width="11.7109375" style="5" customWidth="1"/>
    <col min="2951" max="2951" width="13" style="5" customWidth="1"/>
    <col min="2952" max="2963" width="11.7109375" style="5" customWidth="1"/>
    <col min="2964" max="2964" width="12.5703125" style="5" customWidth="1"/>
    <col min="2965" max="2965" width="11.7109375" style="5" customWidth="1"/>
    <col min="2966" max="2966" width="13" style="5" customWidth="1"/>
    <col min="2967" max="2972" width="11.7109375" style="5" customWidth="1"/>
    <col min="2973" max="2973" width="13.7109375" style="5" customWidth="1"/>
    <col min="2974" max="2974" width="13.140625" style="5" customWidth="1"/>
    <col min="2975" max="2978" width="13" style="5" customWidth="1"/>
    <col min="2979" max="2985" width="11.7109375" style="5" customWidth="1"/>
    <col min="2986" max="2986" width="10.85546875" style="5" customWidth="1"/>
    <col min="2987" max="2987" width="11.7109375" style="5" customWidth="1"/>
    <col min="2988" max="2990" width="22.7109375" style="5" customWidth="1"/>
    <col min="2991" max="2993" width="20.7109375" style="5" customWidth="1"/>
    <col min="2994" max="3181" width="8.85546875" style="5"/>
    <col min="3182" max="3182" width="6.140625" style="5" customWidth="1"/>
    <col min="3183" max="3183" width="20.28515625" style="5" customWidth="1"/>
    <col min="3184" max="3184" width="12.42578125" style="5" customWidth="1"/>
    <col min="3185" max="3185" width="13" style="5" customWidth="1"/>
    <col min="3186" max="3186" width="12.5703125" style="5" customWidth="1"/>
    <col min="3187" max="3200" width="11.7109375" style="5" customWidth="1"/>
    <col min="3201" max="3201" width="12.28515625" style="5" customWidth="1"/>
    <col min="3202" max="3202" width="11.7109375" style="5" customWidth="1"/>
    <col min="3203" max="3203" width="12.85546875" style="5" customWidth="1"/>
    <col min="3204" max="3204" width="11.7109375" style="5" customWidth="1"/>
    <col min="3205" max="3205" width="12.7109375" style="5" customWidth="1"/>
    <col min="3206" max="3206" width="11.7109375" style="5" customWidth="1"/>
    <col min="3207" max="3207" width="13" style="5" customWidth="1"/>
    <col min="3208" max="3219" width="11.7109375" style="5" customWidth="1"/>
    <col min="3220" max="3220" width="12.5703125" style="5" customWidth="1"/>
    <col min="3221" max="3221" width="11.7109375" style="5" customWidth="1"/>
    <col min="3222" max="3222" width="13" style="5" customWidth="1"/>
    <col min="3223" max="3228" width="11.7109375" style="5" customWidth="1"/>
    <col min="3229" max="3229" width="13.7109375" style="5" customWidth="1"/>
    <col min="3230" max="3230" width="13.140625" style="5" customWidth="1"/>
    <col min="3231" max="3234" width="13" style="5" customWidth="1"/>
    <col min="3235" max="3241" width="11.7109375" style="5" customWidth="1"/>
    <col min="3242" max="3242" width="10.85546875" style="5" customWidth="1"/>
    <col min="3243" max="3243" width="11.7109375" style="5" customWidth="1"/>
    <col min="3244" max="3246" width="22.7109375" style="5" customWidth="1"/>
    <col min="3247" max="3249" width="20.7109375" style="5" customWidth="1"/>
    <col min="3250" max="3437" width="8.85546875" style="5"/>
    <col min="3438" max="3438" width="6.140625" style="5" customWidth="1"/>
    <col min="3439" max="3439" width="20.28515625" style="5" customWidth="1"/>
    <col min="3440" max="3440" width="12.42578125" style="5" customWidth="1"/>
    <col min="3441" max="3441" width="13" style="5" customWidth="1"/>
    <col min="3442" max="3442" width="12.5703125" style="5" customWidth="1"/>
    <col min="3443" max="3456" width="11.7109375" style="5" customWidth="1"/>
    <col min="3457" max="3457" width="12.28515625" style="5" customWidth="1"/>
    <col min="3458" max="3458" width="11.7109375" style="5" customWidth="1"/>
    <col min="3459" max="3459" width="12.85546875" style="5" customWidth="1"/>
    <col min="3460" max="3460" width="11.7109375" style="5" customWidth="1"/>
    <col min="3461" max="3461" width="12.7109375" style="5" customWidth="1"/>
    <col min="3462" max="3462" width="11.7109375" style="5" customWidth="1"/>
    <col min="3463" max="3463" width="13" style="5" customWidth="1"/>
    <col min="3464" max="3475" width="11.7109375" style="5" customWidth="1"/>
    <col min="3476" max="3476" width="12.5703125" style="5" customWidth="1"/>
    <col min="3477" max="3477" width="11.7109375" style="5" customWidth="1"/>
    <col min="3478" max="3478" width="13" style="5" customWidth="1"/>
    <col min="3479" max="3484" width="11.7109375" style="5" customWidth="1"/>
    <col min="3485" max="3485" width="13.7109375" style="5" customWidth="1"/>
    <col min="3486" max="3486" width="13.140625" style="5" customWidth="1"/>
    <col min="3487" max="3490" width="13" style="5" customWidth="1"/>
    <col min="3491" max="3497" width="11.7109375" style="5" customWidth="1"/>
    <col min="3498" max="3498" width="10.85546875" style="5" customWidth="1"/>
    <col min="3499" max="3499" width="11.7109375" style="5" customWidth="1"/>
    <col min="3500" max="3502" width="22.7109375" style="5" customWidth="1"/>
    <col min="3503" max="3505" width="20.7109375" style="5" customWidth="1"/>
    <col min="3506" max="3693" width="8.85546875" style="5"/>
    <col min="3694" max="3694" width="6.140625" style="5" customWidth="1"/>
    <col min="3695" max="3695" width="20.28515625" style="5" customWidth="1"/>
    <col min="3696" max="3696" width="12.42578125" style="5" customWidth="1"/>
    <col min="3697" max="3697" width="13" style="5" customWidth="1"/>
    <col min="3698" max="3698" width="12.5703125" style="5" customWidth="1"/>
    <col min="3699" max="3712" width="11.7109375" style="5" customWidth="1"/>
    <col min="3713" max="3713" width="12.28515625" style="5" customWidth="1"/>
    <col min="3714" max="3714" width="11.7109375" style="5" customWidth="1"/>
    <col min="3715" max="3715" width="12.85546875" style="5" customWidth="1"/>
    <col min="3716" max="3716" width="11.7109375" style="5" customWidth="1"/>
    <col min="3717" max="3717" width="12.7109375" style="5" customWidth="1"/>
    <col min="3718" max="3718" width="11.7109375" style="5" customWidth="1"/>
    <col min="3719" max="3719" width="13" style="5" customWidth="1"/>
    <col min="3720" max="3731" width="11.7109375" style="5" customWidth="1"/>
    <col min="3732" max="3732" width="12.5703125" style="5" customWidth="1"/>
    <col min="3733" max="3733" width="11.7109375" style="5" customWidth="1"/>
    <col min="3734" max="3734" width="13" style="5" customWidth="1"/>
    <col min="3735" max="3740" width="11.7109375" style="5" customWidth="1"/>
    <col min="3741" max="3741" width="13.7109375" style="5" customWidth="1"/>
    <col min="3742" max="3742" width="13.140625" style="5" customWidth="1"/>
    <col min="3743" max="3746" width="13" style="5" customWidth="1"/>
    <col min="3747" max="3753" width="11.7109375" style="5" customWidth="1"/>
    <col min="3754" max="3754" width="10.85546875" style="5" customWidth="1"/>
    <col min="3755" max="3755" width="11.7109375" style="5" customWidth="1"/>
    <col min="3756" max="3758" width="22.7109375" style="5" customWidth="1"/>
    <col min="3759" max="3761" width="20.7109375" style="5" customWidth="1"/>
    <col min="3762" max="3949" width="8.85546875" style="5"/>
    <col min="3950" max="3950" width="6.140625" style="5" customWidth="1"/>
    <col min="3951" max="3951" width="20.28515625" style="5" customWidth="1"/>
    <col min="3952" max="3952" width="12.42578125" style="5" customWidth="1"/>
    <col min="3953" max="3953" width="13" style="5" customWidth="1"/>
    <col min="3954" max="3954" width="12.5703125" style="5" customWidth="1"/>
    <col min="3955" max="3968" width="11.7109375" style="5" customWidth="1"/>
    <col min="3969" max="3969" width="12.28515625" style="5" customWidth="1"/>
    <col min="3970" max="3970" width="11.7109375" style="5" customWidth="1"/>
    <col min="3971" max="3971" width="12.85546875" style="5" customWidth="1"/>
    <col min="3972" max="3972" width="11.7109375" style="5" customWidth="1"/>
    <col min="3973" max="3973" width="12.7109375" style="5" customWidth="1"/>
    <col min="3974" max="3974" width="11.7109375" style="5" customWidth="1"/>
    <col min="3975" max="3975" width="13" style="5" customWidth="1"/>
    <col min="3976" max="3987" width="11.7109375" style="5" customWidth="1"/>
    <col min="3988" max="3988" width="12.5703125" style="5" customWidth="1"/>
    <col min="3989" max="3989" width="11.7109375" style="5" customWidth="1"/>
    <col min="3990" max="3990" width="13" style="5" customWidth="1"/>
    <col min="3991" max="3996" width="11.7109375" style="5" customWidth="1"/>
    <col min="3997" max="3997" width="13.7109375" style="5" customWidth="1"/>
    <col min="3998" max="3998" width="13.140625" style="5" customWidth="1"/>
    <col min="3999" max="4002" width="13" style="5" customWidth="1"/>
    <col min="4003" max="4009" width="11.7109375" style="5" customWidth="1"/>
    <col min="4010" max="4010" width="10.85546875" style="5" customWidth="1"/>
    <col min="4011" max="4011" width="11.7109375" style="5" customWidth="1"/>
    <col min="4012" max="4014" width="22.7109375" style="5" customWidth="1"/>
    <col min="4015" max="4017" width="20.7109375" style="5" customWidth="1"/>
    <col min="4018" max="4205" width="8.85546875" style="5"/>
    <col min="4206" max="4206" width="6.140625" style="5" customWidth="1"/>
    <col min="4207" max="4207" width="20.28515625" style="5" customWidth="1"/>
    <col min="4208" max="4208" width="12.42578125" style="5" customWidth="1"/>
    <col min="4209" max="4209" width="13" style="5" customWidth="1"/>
    <col min="4210" max="4210" width="12.5703125" style="5" customWidth="1"/>
    <col min="4211" max="4224" width="11.7109375" style="5" customWidth="1"/>
    <col min="4225" max="4225" width="12.28515625" style="5" customWidth="1"/>
    <col min="4226" max="4226" width="11.7109375" style="5" customWidth="1"/>
    <col min="4227" max="4227" width="12.85546875" style="5" customWidth="1"/>
    <col min="4228" max="4228" width="11.7109375" style="5" customWidth="1"/>
    <col min="4229" max="4229" width="12.7109375" style="5" customWidth="1"/>
    <col min="4230" max="4230" width="11.7109375" style="5" customWidth="1"/>
    <col min="4231" max="4231" width="13" style="5" customWidth="1"/>
    <col min="4232" max="4243" width="11.7109375" style="5" customWidth="1"/>
    <col min="4244" max="4244" width="12.5703125" style="5" customWidth="1"/>
    <col min="4245" max="4245" width="11.7109375" style="5" customWidth="1"/>
    <col min="4246" max="4246" width="13" style="5" customWidth="1"/>
    <col min="4247" max="4252" width="11.7109375" style="5" customWidth="1"/>
    <col min="4253" max="4253" width="13.7109375" style="5" customWidth="1"/>
    <col min="4254" max="4254" width="13.140625" style="5" customWidth="1"/>
    <col min="4255" max="4258" width="13" style="5" customWidth="1"/>
    <col min="4259" max="4265" width="11.7109375" style="5" customWidth="1"/>
    <col min="4266" max="4266" width="10.85546875" style="5" customWidth="1"/>
    <col min="4267" max="4267" width="11.7109375" style="5" customWidth="1"/>
    <col min="4268" max="4270" width="22.7109375" style="5" customWidth="1"/>
    <col min="4271" max="4273" width="20.7109375" style="5" customWidth="1"/>
    <col min="4274" max="4461" width="8.85546875" style="5"/>
    <col min="4462" max="4462" width="6.140625" style="5" customWidth="1"/>
    <col min="4463" max="4463" width="20.28515625" style="5" customWidth="1"/>
    <col min="4464" max="4464" width="12.42578125" style="5" customWidth="1"/>
    <col min="4465" max="4465" width="13" style="5" customWidth="1"/>
    <col min="4466" max="4466" width="12.5703125" style="5" customWidth="1"/>
    <col min="4467" max="4480" width="11.7109375" style="5" customWidth="1"/>
    <col min="4481" max="4481" width="12.28515625" style="5" customWidth="1"/>
    <col min="4482" max="4482" width="11.7109375" style="5" customWidth="1"/>
    <col min="4483" max="4483" width="12.85546875" style="5" customWidth="1"/>
    <col min="4484" max="4484" width="11.7109375" style="5" customWidth="1"/>
    <col min="4485" max="4485" width="12.7109375" style="5" customWidth="1"/>
    <col min="4486" max="4486" width="11.7109375" style="5" customWidth="1"/>
    <col min="4487" max="4487" width="13" style="5" customWidth="1"/>
    <col min="4488" max="4499" width="11.7109375" style="5" customWidth="1"/>
    <col min="4500" max="4500" width="12.5703125" style="5" customWidth="1"/>
    <col min="4501" max="4501" width="11.7109375" style="5" customWidth="1"/>
    <col min="4502" max="4502" width="13" style="5" customWidth="1"/>
    <col min="4503" max="4508" width="11.7109375" style="5" customWidth="1"/>
    <col min="4509" max="4509" width="13.7109375" style="5" customWidth="1"/>
    <col min="4510" max="4510" width="13.140625" style="5" customWidth="1"/>
    <col min="4511" max="4514" width="13" style="5" customWidth="1"/>
    <col min="4515" max="4521" width="11.7109375" style="5" customWidth="1"/>
    <col min="4522" max="4522" width="10.85546875" style="5" customWidth="1"/>
    <col min="4523" max="4523" width="11.7109375" style="5" customWidth="1"/>
    <col min="4524" max="4526" width="22.7109375" style="5" customWidth="1"/>
    <col min="4527" max="4529" width="20.7109375" style="5" customWidth="1"/>
    <col min="4530" max="4717" width="8.85546875" style="5"/>
    <col min="4718" max="4718" width="6.140625" style="5" customWidth="1"/>
    <col min="4719" max="4719" width="20.28515625" style="5" customWidth="1"/>
    <col min="4720" max="4720" width="12.42578125" style="5" customWidth="1"/>
    <col min="4721" max="4721" width="13" style="5" customWidth="1"/>
    <col min="4722" max="4722" width="12.5703125" style="5" customWidth="1"/>
    <col min="4723" max="4736" width="11.7109375" style="5" customWidth="1"/>
    <col min="4737" max="4737" width="12.28515625" style="5" customWidth="1"/>
    <col min="4738" max="4738" width="11.7109375" style="5" customWidth="1"/>
    <col min="4739" max="4739" width="12.85546875" style="5" customWidth="1"/>
    <col min="4740" max="4740" width="11.7109375" style="5" customWidth="1"/>
    <col min="4741" max="4741" width="12.7109375" style="5" customWidth="1"/>
    <col min="4742" max="4742" width="11.7109375" style="5" customWidth="1"/>
    <col min="4743" max="4743" width="13" style="5" customWidth="1"/>
    <col min="4744" max="4755" width="11.7109375" style="5" customWidth="1"/>
    <col min="4756" max="4756" width="12.5703125" style="5" customWidth="1"/>
    <col min="4757" max="4757" width="11.7109375" style="5" customWidth="1"/>
    <col min="4758" max="4758" width="13" style="5" customWidth="1"/>
    <col min="4759" max="4764" width="11.7109375" style="5" customWidth="1"/>
    <col min="4765" max="4765" width="13.7109375" style="5" customWidth="1"/>
    <col min="4766" max="4766" width="13.140625" style="5" customWidth="1"/>
    <col min="4767" max="4770" width="13" style="5" customWidth="1"/>
    <col min="4771" max="4777" width="11.7109375" style="5" customWidth="1"/>
    <col min="4778" max="4778" width="10.85546875" style="5" customWidth="1"/>
    <col min="4779" max="4779" width="11.7109375" style="5" customWidth="1"/>
    <col min="4780" max="4782" width="22.7109375" style="5" customWidth="1"/>
    <col min="4783" max="4785" width="20.7109375" style="5" customWidth="1"/>
    <col min="4786" max="4973" width="8.85546875" style="5"/>
    <col min="4974" max="4974" width="6.140625" style="5" customWidth="1"/>
    <col min="4975" max="4975" width="20.28515625" style="5" customWidth="1"/>
    <col min="4976" max="4976" width="12.42578125" style="5" customWidth="1"/>
    <col min="4977" max="4977" width="13" style="5" customWidth="1"/>
    <col min="4978" max="4978" width="12.5703125" style="5" customWidth="1"/>
    <col min="4979" max="4992" width="11.7109375" style="5" customWidth="1"/>
    <col min="4993" max="4993" width="12.28515625" style="5" customWidth="1"/>
    <col min="4994" max="4994" width="11.7109375" style="5" customWidth="1"/>
    <col min="4995" max="4995" width="12.85546875" style="5" customWidth="1"/>
    <col min="4996" max="4996" width="11.7109375" style="5" customWidth="1"/>
    <col min="4997" max="4997" width="12.7109375" style="5" customWidth="1"/>
    <col min="4998" max="4998" width="11.7109375" style="5" customWidth="1"/>
    <col min="4999" max="4999" width="13" style="5" customWidth="1"/>
    <col min="5000" max="5011" width="11.7109375" style="5" customWidth="1"/>
    <col min="5012" max="5012" width="12.5703125" style="5" customWidth="1"/>
    <col min="5013" max="5013" width="11.7109375" style="5" customWidth="1"/>
    <col min="5014" max="5014" width="13" style="5" customWidth="1"/>
    <col min="5015" max="5020" width="11.7109375" style="5" customWidth="1"/>
    <col min="5021" max="5021" width="13.7109375" style="5" customWidth="1"/>
    <col min="5022" max="5022" width="13.140625" style="5" customWidth="1"/>
    <col min="5023" max="5026" width="13" style="5" customWidth="1"/>
    <col min="5027" max="5033" width="11.7109375" style="5" customWidth="1"/>
    <col min="5034" max="5034" width="10.85546875" style="5" customWidth="1"/>
    <col min="5035" max="5035" width="11.7109375" style="5" customWidth="1"/>
    <col min="5036" max="5038" width="22.7109375" style="5" customWidth="1"/>
    <col min="5039" max="5041" width="20.7109375" style="5" customWidth="1"/>
    <col min="5042" max="5229" width="8.85546875" style="5"/>
    <col min="5230" max="5230" width="6.140625" style="5" customWidth="1"/>
    <col min="5231" max="5231" width="20.28515625" style="5" customWidth="1"/>
    <col min="5232" max="5232" width="12.42578125" style="5" customWidth="1"/>
    <col min="5233" max="5233" width="13" style="5" customWidth="1"/>
    <col min="5234" max="5234" width="12.5703125" style="5" customWidth="1"/>
    <col min="5235" max="5248" width="11.7109375" style="5" customWidth="1"/>
    <col min="5249" max="5249" width="12.28515625" style="5" customWidth="1"/>
    <col min="5250" max="5250" width="11.7109375" style="5" customWidth="1"/>
    <col min="5251" max="5251" width="12.85546875" style="5" customWidth="1"/>
    <col min="5252" max="5252" width="11.7109375" style="5" customWidth="1"/>
    <col min="5253" max="5253" width="12.7109375" style="5" customWidth="1"/>
    <col min="5254" max="5254" width="11.7109375" style="5" customWidth="1"/>
    <col min="5255" max="5255" width="13" style="5" customWidth="1"/>
    <col min="5256" max="5267" width="11.7109375" style="5" customWidth="1"/>
    <col min="5268" max="5268" width="12.5703125" style="5" customWidth="1"/>
    <col min="5269" max="5269" width="11.7109375" style="5" customWidth="1"/>
    <col min="5270" max="5270" width="13" style="5" customWidth="1"/>
    <col min="5271" max="5276" width="11.7109375" style="5" customWidth="1"/>
    <col min="5277" max="5277" width="13.7109375" style="5" customWidth="1"/>
    <col min="5278" max="5278" width="13.140625" style="5" customWidth="1"/>
    <col min="5279" max="5282" width="13" style="5" customWidth="1"/>
    <col min="5283" max="5289" width="11.7109375" style="5" customWidth="1"/>
    <col min="5290" max="5290" width="10.85546875" style="5" customWidth="1"/>
    <col min="5291" max="5291" width="11.7109375" style="5" customWidth="1"/>
    <col min="5292" max="5294" width="22.7109375" style="5" customWidth="1"/>
    <col min="5295" max="5297" width="20.7109375" style="5" customWidth="1"/>
    <col min="5298" max="5485" width="8.85546875" style="5"/>
    <col min="5486" max="5486" width="6.140625" style="5" customWidth="1"/>
    <col min="5487" max="5487" width="20.28515625" style="5" customWidth="1"/>
    <col min="5488" max="5488" width="12.42578125" style="5" customWidth="1"/>
    <col min="5489" max="5489" width="13" style="5" customWidth="1"/>
    <col min="5490" max="5490" width="12.5703125" style="5" customWidth="1"/>
    <col min="5491" max="5504" width="11.7109375" style="5" customWidth="1"/>
    <col min="5505" max="5505" width="12.28515625" style="5" customWidth="1"/>
    <col min="5506" max="5506" width="11.7109375" style="5" customWidth="1"/>
    <col min="5507" max="5507" width="12.85546875" style="5" customWidth="1"/>
    <col min="5508" max="5508" width="11.7109375" style="5" customWidth="1"/>
    <col min="5509" max="5509" width="12.7109375" style="5" customWidth="1"/>
    <col min="5510" max="5510" width="11.7109375" style="5" customWidth="1"/>
    <col min="5511" max="5511" width="13" style="5" customWidth="1"/>
    <col min="5512" max="5523" width="11.7109375" style="5" customWidth="1"/>
    <col min="5524" max="5524" width="12.5703125" style="5" customWidth="1"/>
    <col min="5525" max="5525" width="11.7109375" style="5" customWidth="1"/>
    <col min="5526" max="5526" width="13" style="5" customWidth="1"/>
    <col min="5527" max="5532" width="11.7109375" style="5" customWidth="1"/>
    <col min="5533" max="5533" width="13.7109375" style="5" customWidth="1"/>
    <col min="5534" max="5534" width="13.140625" style="5" customWidth="1"/>
    <col min="5535" max="5538" width="13" style="5" customWidth="1"/>
    <col min="5539" max="5545" width="11.7109375" style="5" customWidth="1"/>
    <col min="5546" max="5546" width="10.85546875" style="5" customWidth="1"/>
    <col min="5547" max="5547" width="11.7109375" style="5" customWidth="1"/>
    <col min="5548" max="5550" width="22.7109375" style="5" customWidth="1"/>
    <col min="5551" max="5553" width="20.7109375" style="5" customWidth="1"/>
    <col min="5554" max="5741" width="8.85546875" style="5"/>
    <col min="5742" max="5742" width="6.140625" style="5" customWidth="1"/>
    <col min="5743" max="5743" width="20.28515625" style="5" customWidth="1"/>
    <col min="5744" max="5744" width="12.42578125" style="5" customWidth="1"/>
    <col min="5745" max="5745" width="13" style="5" customWidth="1"/>
    <col min="5746" max="5746" width="12.5703125" style="5" customWidth="1"/>
    <col min="5747" max="5760" width="11.7109375" style="5" customWidth="1"/>
    <col min="5761" max="5761" width="12.28515625" style="5" customWidth="1"/>
    <col min="5762" max="5762" width="11.7109375" style="5" customWidth="1"/>
    <col min="5763" max="5763" width="12.85546875" style="5" customWidth="1"/>
    <col min="5764" max="5764" width="11.7109375" style="5" customWidth="1"/>
    <col min="5765" max="5765" width="12.7109375" style="5" customWidth="1"/>
    <col min="5766" max="5766" width="11.7109375" style="5" customWidth="1"/>
    <col min="5767" max="5767" width="13" style="5" customWidth="1"/>
    <col min="5768" max="5779" width="11.7109375" style="5" customWidth="1"/>
    <col min="5780" max="5780" width="12.5703125" style="5" customWidth="1"/>
    <col min="5781" max="5781" width="11.7109375" style="5" customWidth="1"/>
    <col min="5782" max="5782" width="13" style="5" customWidth="1"/>
    <col min="5783" max="5788" width="11.7109375" style="5" customWidth="1"/>
    <col min="5789" max="5789" width="13.7109375" style="5" customWidth="1"/>
    <col min="5790" max="5790" width="13.140625" style="5" customWidth="1"/>
    <col min="5791" max="5794" width="13" style="5" customWidth="1"/>
    <col min="5795" max="5801" width="11.7109375" style="5" customWidth="1"/>
    <col min="5802" max="5802" width="10.85546875" style="5" customWidth="1"/>
    <col min="5803" max="5803" width="11.7109375" style="5" customWidth="1"/>
    <col min="5804" max="5806" width="22.7109375" style="5" customWidth="1"/>
    <col min="5807" max="5809" width="20.7109375" style="5" customWidth="1"/>
    <col min="5810" max="5997" width="8.85546875" style="5"/>
    <col min="5998" max="5998" width="6.140625" style="5" customWidth="1"/>
    <col min="5999" max="5999" width="20.28515625" style="5" customWidth="1"/>
    <col min="6000" max="6000" width="12.42578125" style="5" customWidth="1"/>
    <col min="6001" max="6001" width="13" style="5" customWidth="1"/>
    <col min="6002" max="6002" width="12.5703125" style="5" customWidth="1"/>
    <col min="6003" max="6016" width="11.7109375" style="5" customWidth="1"/>
    <col min="6017" max="6017" width="12.28515625" style="5" customWidth="1"/>
    <col min="6018" max="6018" width="11.7109375" style="5" customWidth="1"/>
    <col min="6019" max="6019" width="12.85546875" style="5" customWidth="1"/>
    <col min="6020" max="6020" width="11.7109375" style="5" customWidth="1"/>
    <col min="6021" max="6021" width="12.7109375" style="5" customWidth="1"/>
    <col min="6022" max="6022" width="11.7109375" style="5" customWidth="1"/>
    <col min="6023" max="6023" width="13" style="5" customWidth="1"/>
    <col min="6024" max="6035" width="11.7109375" style="5" customWidth="1"/>
    <col min="6036" max="6036" width="12.5703125" style="5" customWidth="1"/>
    <col min="6037" max="6037" width="11.7109375" style="5" customWidth="1"/>
    <col min="6038" max="6038" width="13" style="5" customWidth="1"/>
    <col min="6039" max="6044" width="11.7109375" style="5" customWidth="1"/>
    <col min="6045" max="6045" width="13.7109375" style="5" customWidth="1"/>
    <col min="6046" max="6046" width="13.140625" style="5" customWidth="1"/>
    <col min="6047" max="6050" width="13" style="5" customWidth="1"/>
    <col min="6051" max="6057" width="11.7109375" style="5" customWidth="1"/>
    <col min="6058" max="6058" width="10.85546875" style="5" customWidth="1"/>
    <col min="6059" max="6059" width="11.7109375" style="5" customWidth="1"/>
    <col min="6060" max="6062" width="22.7109375" style="5" customWidth="1"/>
    <col min="6063" max="6065" width="20.7109375" style="5" customWidth="1"/>
    <col min="6066" max="6253" width="8.85546875" style="5"/>
    <col min="6254" max="6254" width="6.140625" style="5" customWidth="1"/>
    <col min="6255" max="6255" width="20.28515625" style="5" customWidth="1"/>
    <col min="6256" max="6256" width="12.42578125" style="5" customWidth="1"/>
    <col min="6257" max="6257" width="13" style="5" customWidth="1"/>
    <col min="6258" max="6258" width="12.5703125" style="5" customWidth="1"/>
    <col min="6259" max="6272" width="11.7109375" style="5" customWidth="1"/>
    <col min="6273" max="6273" width="12.28515625" style="5" customWidth="1"/>
    <col min="6274" max="6274" width="11.7109375" style="5" customWidth="1"/>
    <col min="6275" max="6275" width="12.85546875" style="5" customWidth="1"/>
    <col min="6276" max="6276" width="11.7109375" style="5" customWidth="1"/>
    <col min="6277" max="6277" width="12.7109375" style="5" customWidth="1"/>
    <col min="6278" max="6278" width="11.7109375" style="5" customWidth="1"/>
    <col min="6279" max="6279" width="13" style="5" customWidth="1"/>
    <col min="6280" max="6291" width="11.7109375" style="5" customWidth="1"/>
    <col min="6292" max="6292" width="12.5703125" style="5" customWidth="1"/>
    <col min="6293" max="6293" width="11.7109375" style="5" customWidth="1"/>
    <col min="6294" max="6294" width="13" style="5" customWidth="1"/>
    <col min="6295" max="6300" width="11.7109375" style="5" customWidth="1"/>
    <col min="6301" max="6301" width="13.7109375" style="5" customWidth="1"/>
    <col min="6302" max="6302" width="13.140625" style="5" customWidth="1"/>
    <col min="6303" max="6306" width="13" style="5" customWidth="1"/>
    <col min="6307" max="6313" width="11.7109375" style="5" customWidth="1"/>
    <col min="6314" max="6314" width="10.85546875" style="5" customWidth="1"/>
    <col min="6315" max="6315" width="11.7109375" style="5" customWidth="1"/>
    <col min="6316" max="6318" width="22.7109375" style="5" customWidth="1"/>
    <col min="6319" max="6321" width="20.7109375" style="5" customWidth="1"/>
    <col min="6322" max="6509" width="8.85546875" style="5"/>
    <col min="6510" max="6510" width="6.140625" style="5" customWidth="1"/>
    <col min="6511" max="6511" width="20.28515625" style="5" customWidth="1"/>
    <col min="6512" max="6512" width="12.42578125" style="5" customWidth="1"/>
    <col min="6513" max="6513" width="13" style="5" customWidth="1"/>
    <col min="6514" max="6514" width="12.5703125" style="5" customWidth="1"/>
    <col min="6515" max="6528" width="11.7109375" style="5" customWidth="1"/>
    <col min="6529" max="6529" width="12.28515625" style="5" customWidth="1"/>
    <col min="6530" max="6530" width="11.7109375" style="5" customWidth="1"/>
    <col min="6531" max="6531" width="12.85546875" style="5" customWidth="1"/>
    <col min="6532" max="6532" width="11.7109375" style="5" customWidth="1"/>
    <col min="6533" max="6533" width="12.7109375" style="5" customWidth="1"/>
    <col min="6534" max="6534" width="11.7109375" style="5" customWidth="1"/>
    <col min="6535" max="6535" width="13" style="5" customWidth="1"/>
    <col min="6536" max="6547" width="11.7109375" style="5" customWidth="1"/>
    <col min="6548" max="6548" width="12.5703125" style="5" customWidth="1"/>
    <col min="6549" max="6549" width="11.7109375" style="5" customWidth="1"/>
    <col min="6550" max="6550" width="13" style="5" customWidth="1"/>
    <col min="6551" max="6556" width="11.7109375" style="5" customWidth="1"/>
    <col min="6557" max="6557" width="13.7109375" style="5" customWidth="1"/>
    <col min="6558" max="6558" width="13.140625" style="5" customWidth="1"/>
    <col min="6559" max="6562" width="13" style="5" customWidth="1"/>
    <col min="6563" max="6569" width="11.7109375" style="5" customWidth="1"/>
    <col min="6570" max="6570" width="10.85546875" style="5" customWidth="1"/>
    <col min="6571" max="6571" width="11.7109375" style="5" customWidth="1"/>
    <col min="6572" max="6574" width="22.7109375" style="5" customWidth="1"/>
    <col min="6575" max="6577" width="20.7109375" style="5" customWidth="1"/>
    <col min="6578" max="6765" width="8.85546875" style="5"/>
    <col min="6766" max="6766" width="6.140625" style="5" customWidth="1"/>
    <col min="6767" max="6767" width="20.28515625" style="5" customWidth="1"/>
    <col min="6768" max="6768" width="12.42578125" style="5" customWidth="1"/>
    <col min="6769" max="6769" width="13" style="5" customWidth="1"/>
    <col min="6770" max="6770" width="12.5703125" style="5" customWidth="1"/>
    <col min="6771" max="6784" width="11.7109375" style="5" customWidth="1"/>
    <col min="6785" max="6785" width="12.28515625" style="5" customWidth="1"/>
    <col min="6786" max="6786" width="11.7109375" style="5" customWidth="1"/>
    <col min="6787" max="6787" width="12.85546875" style="5" customWidth="1"/>
    <col min="6788" max="6788" width="11.7109375" style="5" customWidth="1"/>
    <col min="6789" max="6789" width="12.7109375" style="5" customWidth="1"/>
    <col min="6790" max="6790" width="11.7109375" style="5" customWidth="1"/>
    <col min="6791" max="6791" width="13" style="5" customWidth="1"/>
    <col min="6792" max="6803" width="11.7109375" style="5" customWidth="1"/>
    <col min="6804" max="6804" width="12.5703125" style="5" customWidth="1"/>
    <col min="6805" max="6805" width="11.7109375" style="5" customWidth="1"/>
    <col min="6806" max="6806" width="13" style="5" customWidth="1"/>
    <col min="6807" max="6812" width="11.7109375" style="5" customWidth="1"/>
    <col min="6813" max="6813" width="13.7109375" style="5" customWidth="1"/>
    <col min="6814" max="6814" width="13.140625" style="5" customWidth="1"/>
    <col min="6815" max="6818" width="13" style="5" customWidth="1"/>
    <col min="6819" max="6825" width="11.7109375" style="5" customWidth="1"/>
    <col min="6826" max="6826" width="10.85546875" style="5" customWidth="1"/>
    <col min="6827" max="6827" width="11.7109375" style="5" customWidth="1"/>
    <col min="6828" max="6830" width="22.7109375" style="5" customWidth="1"/>
    <col min="6831" max="6833" width="20.7109375" style="5" customWidth="1"/>
    <col min="6834" max="7021" width="8.85546875" style="5"/>
    <col min="7022" max="7022" width="6.140625" style="5" customWidth="1"/>
    <col min="7023" max="7023" width="20.28515625" style="5" customWidth="1"/>
    <col min="7024" max="7024" width="12.42578125" style="5" customWidth="1"/>
    <col min="7025" max="7025" width="13" style="5" customWidth="1"/>
    <col min="7026" max="7026" width="12.5703125" style="5" customWidth="1"/>
    <col min="7027" max="7040" width="11.7109375" style="5" customWidth="1"/>
    <col min="7041" max="7041" width="12.28515625" style="5" customWidth="1"/>
    <col min="7042" max="7042" width="11.7109375" style="5" customWidth="1"/>
    <col min="7043" max="7043" width="12.85546875" style="5" customWidth="1"/>
    <col min="7044" max="7044" width="11.7109375" style="5" customWidth="1"/>
    <col min="7045" max="7045" width="12.7109375" style="5" customWidth="1"/>
    <col min="7046" max="7046" width="11.7109375" style="5" customWidth="1"/>
    <col min="7047" max="7047" width="13" style="5" customWidth="1"/>
    <col min="7048" max="7059" width="11.7109375" style="5" customWidth="1"/>
    <col min="7060" max="7060" width="12.5703125" style="5" customWidth="1"/>
    <col min="7061" max="7061" width="11.7109375" style="5" customWidth="1"/>
    <col min="7062" max="7062" width="13" style="5" customWidth="1"/>
    <col min="7063" max="7068" width="11.7109375" style="5" customWidth="1"/>
    <col min="7069" max="7069" width="13.7109375" style="5" customWidth="1"/>
    <col min="7070" max="7070" width="13.140625" style="5" customWidth="1"/>
    <col min="7071" max="7074" width="13" style="5" customWidth="1"/>
    <col min="7075" max="7081" width="11.7109375" style="5" customWidth="1"/>
    <col min="7082" max="7082" width="10.85546875" style="5" customWidth="1"/>
    <col min="7083" max="7083" width="11.7109375" style="5" customWidth="1"/>
    <col min="7084" max="7086" width="22.7109375" style="5" customWidth="1"/>
    <col min="7087" max="7089" width="20.7109375" style="5" customWidth="1"/>
    <col min="7090" max="7277" width="8.85546875" style="5"/>
    <col min="7278" max="7278" width="6.140625" style="5" customWidth="1"/>
    <col min="7279" max="7279" width="20.28515625" style="5" customWidth="1"/>
    <col min="7280" max="7280" width="12.42578125" style="5" customWidth="1"/>
    <col min="7281" max="7281" width="13" style="5" customWidth="1"/>
    <col min="7282" max="7282" width="12.5703125" style="5" customWidth="1"/>
    <col min="7283" max="7296" width="11.7109375" style="5" customWidth="1"/>
    <col min="7297" max="7297" width="12.28515625" style="5" customWidth="1"/>
    <col min="7298" max="7298" width="11.7109375" style="5" customWidth="1"/>
    <col min="7299" max="7299" width="12.85546875" style="5" customWidth="1"/>
    <col min="7300" max="7300" width="11.7109375" style="5" customWidth="1"/>
    <col min="7301" max="7301" width="12.7109375" style="5" customWidth="1"/>
    <col min="7302" max="7302" width="11.7109375" style="5" customWidth="1"/>
    <col min="7303" max="7303" width="13" style="5" customWidth="1"/>
    <col min="7304" max="7315" width="11.7109375" style="5" customWidth="1"/>
    <col min="7316" max="7316" width="12.5703125" style="5" customWidth="1"/>
    <col min="7317" max="7317" width="11.7109375" style="5" customWidth="1"/>
    <col min="7318" max="7318" width="13" style="5" customWidth="1"/>
    <col min="7319" max="7324" width="11.7109375" style="5" customWidth="1"/>
    <col min="7325" max="7325" width="13.7109375" style="5" customWidth="1"/>
    <col min="7326" max="7326" width="13.140625" style="5" customWidth="1"/>
    <col min="7327" max="7330" width="13" style="5" customWidth="1"/>
    <col min="7331" max="7337" width="11.7109375" style="5" customWidth="1"/>
    <col min="7338" max="7338" width="10.85546875" style="5" customWidth="1"/>
    <col min="7339" max="7339" width="11.7109375" style="5" customWidth="1"/>
    <col min="7340" max="7342" width="22.7109375" style="5" customWidth="1"/>
    <col min="7343" max="7345" width="20.7109375" style="5" customWidth="1"/>
    <col min="7346" max="7533" width="8.85546875" style="5"/>
    <col min="7534" max="7534" width="6.140625" style="5" customWidth="1"/>
    <col min="7535" max="7535" width="20.28515625" style="5" customWidth="1"/>
    <col min="7536" max="7536" width="12.42578125" style="5" customWidth="1"/>
    <col min="7537" max="7537" width="13" style="5" customWidth="1"/>
    <col min="7538" max="7538" width="12.5703125" style="5" customWidth="1"/>
    <col min="7539" max="7552" width="11.7109375" style="5" customWidth="1"/>
    <col min="7553" max="7553" width="12.28515625" style="5" customWidth="1"/>
    <col min="7554" max="7554" width="11.7109375" style="5" customWidth="1"/>
    <col min="7555" max="7555" width="12.85546875" style="5" customWidth="1"/>
    <col min="7556" max="7556" width="11.7109375" style="5" customWidth="1"/>
    <col min="7557" max="7557" width="12.7109375" style="5" customWidth="1"/>
    <col min="7558" max="7558" width="11.7109375" style="5" customWidth="1"/>
    <col min="7559" max="7559" width="13" style="5" customWidth="1"/>
    <col min="7560" max="7571" width="11.7109375" style="5" customWidth="1"/>
    <col min="7572" max="7572" width="12.5703125" style="5" customWidth="1"/>
    <col min="7573" max="7573" width="11.7109375" style="5" customWidth="1"/>
    <col min="7574" max="7574" width="13" style="5" customWidth="1"/>
    <col min="7575" max="7580" width="11.7109375" style="5" customWidth="1"/>
    <col min="7581" max="7581" width="13.7109375" style="5" customWidth="1"/>
    <col min="7582" max="7582" width="13.140625" style="5" customWidth="1"/>
    <col min="7583" max="7586" width="13" style="5" customWidth="1"/>
    <col min="7587" max="7593" width="11.7109375" style="5" customWidth="1"/>
    <col min="7594" max="7594" width="10.85546875" style="5" customWidth="1"/>
    <col min="7595" max="7595" width="11.7109375" style="5" customWidth="1"/>
    <col min="7596" max="7598" width="22.7109375" style="5" customWidth="1"/>
    <col min="7599" max="7601" width="20.7109375" style="5" customWidth="1"/>
    <col min="7602" max="7789" width="8.85546875" style="5"/>
    <col min="7790" max="7790" width="6.140625" style="5" customWidth="1"/>
    <col min="7791" max="7791" width="20.28515625" style="5" customWidth="1"/>
    <col min="7792" max="7792" width="12.42578125" style="5" customWidth="1"/>
    <col min="7793" max="7793" width="13" style="5" customWidth="1"/>
    <col min="7794" max="7794" width="12.5703125" style="5" customWidth="1"/>
    <col min="7795" max="7808" width="11.7109375" style="5" customWidth="1"/>
    <col min="7809" max="7809" width="12.28515625" style="5" customWidth="1"/>
    <col min="7810" max="7810" width="11.7109375" style="5" customWidth="1"/>
    <col min="7811" max="7811" width="12.85546875" style="5" customWidth="1"/>
    <col min="7812" max="7812" width="11.7109375" style="5" customWidth="1"/>
    <col min="7813" max="7813" width="12.7109375" style="5" customWidth="1"/>
    <col min="7814" max="7814" width="11.7109375" style="5" customWidth="1"/>
    <col min="7815" max="7815" width="13" style="5" customWidth="1"/>
    <col min="7816" max="7827" width="11.7109375" style="5" customWidth="1"/>
    <col min="7828" max="7828" width="12.5703125" style="5" customWidth="1"/>
    <col min="7829" max="7829" width="11.7109375" style="5" customWidth="1"/>
    <col min="7830" max="7830" width="13" style="5" customWidth="1"/>
    <col min="7831" max="7836" width="11.7109375" style="5" customWidth="1"/>
    <col min="7837" max="7837" width="13.7109375" style="5" customWidth="1"/>
    <col min="7838" max="7838" width="13.140625" style="5" customWidth="1"/>
    <col min="7839" max="7842" width="13" style="5" customWidth="1"/>
    <col min="7843" max="7849" width="11.7109375" style="5" customWidth="1"/>
    <col min="7850" max="7850" width="10.85546875" style="5" customWidth="1"/>
    <col min="7851" max="7851" width="11.7109375" style="5" customWidth="1"/>
    <col min="7852" max="7854" width="22.7109375" style="5" customWidth="1"/>
    <col min="7855" max="7857" width="20.7109375" style="5" customWidth="1"/>
    <col min="7858" max="8045" width="8.85546875" style="5"/>
    <col min="8046" max="8046" width="6.140625" style="5" customWidth="1"/>
    <col min="8047" max="8047" width="20.28515625" style="5" customWidth="1"/>
    <col min="8048" max="8048" width="12.42578125" style="5" customWidth="1"/>
    <col min="8049" max="8049" width="13" style="5" customWidth="1"/>
    <col min="8050" max="8050" width="12.5703125" style="5" customWidth="1"/>
    <col min="8051" max="8064" width="11.7109375" style="5" customWidth="1"/>
    <col min="8065" max="8065" width="12.28515625" style="5" customWidth="1"/>
    <col min="8066" max="8066" width="11.7109375" style="5" customWidth="1"/>
    <col min="8067" max="8067" width="12.85546875" style="5" customWidth="1"/>
    <col min="8068" max="8068" width="11.7109375" style="5" customWidth="1"/>
    <col min="8069" max="8069" width="12.7109375" style="5" customWidth="1"/>
    <col min="8070" max="8070" width="11.7109375" style="5" customWidth="1"/>
    <col min="8071" max="8071" width="13" style="5" customWidth="1"/>
    <col min="8072" max="8083" width="11.7109375" style="5" customWidth="1"/>
    <col min="8084" max="8084" width="12.5703125" style="5" customWidth="1"/>
    <col min="8085" max="8085" width="11.7109375" style="5" customWidth="1"/>
    <col min="8086" max="8086" width="13" style="5" customWidth="1"/>
    <col min="8087" max="8092" width="11.7109375" style="5" customWidth="1"/>
    <col min="8093" max="8093" width="13.7109375" style="5" customWidth="1"/>
    <col min="8094" max="8094" width="13.140625" style="5" customWidth="1"/>
    <col min="8095" max="8098" width="13" style="5" customWidth="1"/>
    <col min="8099" max="8105" width="11.7109375" style="5" customWidth="1"/>
    <col min="8106" max="8106" width="10.85546875" style="5" customWidth="1"/>
    <col min="8107" max="8107" width="11.7109375" style="5" customWidth="1"/>
    <col min="8108" max="8110" width="22.7109375" style="5" customWidth="1"/>
    <col min="8111" max="8113" width="20.7109375" style="5" customWidth="1"/>
    <col min="8114" max="8301" width="8.85546875" style="5"/>
    <col min="8302" max="8302" width="6.140625" style="5" customWidth="1"/>
    <col min="8303" max="8303" width="20.28515625" style="5" customWidth="1"/>
    <col min="8304" max="8304" width="12.42578125" style="5" customWidth="1"/>
    <col min="8305" max="8305" width="13" style="5" customWidth="1"/>
    <col min="8306" max="8306" width="12.5703125" style="5" customWidth="1"/>
    <col min="8307" max="8320" width="11.7109375" style="5" customWidth="1"/>
    <col min="8321" max="8321" width="12.28515625" style="5" customWidth="1"/>
    <col min="8322" max="8322" width="11.7109375" style="5" customWidth="1"/>
    <col min="8323" max="8323" width="12.85546875" style="5" customWidth="1"/>
    <col min="8324" max="8324" width="11.7109375" style="5" customWidth="1"/>
    <col min="8325" max="8325" width="12.7109375" style="5" customWidth="1"/>
    <col min="8326" max="8326" width="11.7109375" style="5" customWidth="1"/>
    <col min="8327" max="8327" width="13" style="5" customWidth="1"/>
    <col min="8328" max="8339" width="11.7109375" style="5" customWidth="1"/>
    <col min="8340" max="8340" width="12.5703125" style="5" customWidth="1"/>
    <col min="8341" max="8341" width="11.7109375" style="5" customWidth="1"/>
    <col min="8342" max="8342" width="13" style="5" customWidth="1"/>
    <col min="8343" max="8348" width="11.7109375" style="5" customWidth="1"/>
    <col min="8349" max="8349" width="13.7109375" style="5" customWidth="1"/>
    <col min="8350" max="8350" width="13.140625" style="5" customWidth="1"/>
    <col min="8351" max="8354" width="13" style="5" customWidth="1"/>
    <col min="8355" max="8361" width="11.7109375" style="5" customWidth="1"/>
    <col min="8362" max="8362" width="10.85546875" style="5" customWidth="1"/>
    <col min="8363" max="8363" width="11.7109375" style="5" customWidth="1"/>
    <col min="8364" max="8366" width="22.7109375" style="5" customWidth="1"/>
    <col min="8367" max="8369" width="20.7109375" style="5" customWidth="1"/>
    <col min="8370" max="8557" width="8.85546875" style="5"/>
    <col min="8558" max="8558" width="6.140625" style="5" customWidth="1"/>
    <col min="8559" max="8559" width="20.28515625" style="5" customWidth="1"/>
    <col min="8560" max="8560" width="12.42578125" style="5" customWidth="1"/>
    <col min="8561" max="8561" width="13" style="5" customWidth="1"/>
    <col min="8562" max="8562" width="12.5703125" style="5" customWidth="1"/>
    <col min="8563" max="8576" width="11.7109375" style="5" customWidth="1"/>
    <col min="8577" max="8577" width="12.28515625" style="5" customWidth="1"/>
    <col min="8578" max="8578" width="11.7109375" style="5" customWidth="1"/>
    <col min="8579" max="8579" width="12.85546875" style="5" customWidth="1"/>
    <col min="8580" max="8580" width="11.7109375" style="5" customWidth="1"/>
    <col min="8581" max="8581" width="12.7109375" style="5" customWidth="1"/>
    <col min="8582" max="8582" width="11.7109375" style="5" customWidth="1"/>
    <col min="8583" max="8583" width="13" style="5" customWidth="1"/>
    <col min="8584" max="8595" width="11.7109375" style="5" customWidth="1"/>
    <col min="8596" max="8596" width="12.5703125" style="5" customWidth="1"/>
    <col min="8597" max="8597" width="11.7109375" style="5" customWidth="1"/>
    <col min="8598" max="8598" width="13" style="5" customWidth="1"/>
    <col min="8599" max="8604" width="11.7109375" style="5" customWidth="1"/>
    <col min="8605" max="8605" width="13.7109375" style="5" customWidth="1"/>
    <col min="8606" max="8606" width="13.140625" style="5" customWidth="1"/>
    <col min="8607" max="8610" width="13" style="5" customWidth="1"/>
    <col min="8611" max="8617" width="11.7109375" style="5" customWidth="1"/>
    <col min="8618" max="8618" width="10.85546875" style="5" customWidth="1"/>
    <col min="8619" max="8619" width="11.7109375" style="5" customWidth="1"/>
    <col min="8620" max="8622" width="22.7109375" style="5" customWidth="1"/>
    <col min="8623" max="8625" width="20.7109375" style="5" customWidth="1"/>
    <col min="8626" max="8813" width="8.85546875" style="5"/>
    <col min="8814" max="8814" width="6.140625" style="5" customWidth="1"/>
    <col min="8815" max="8815" width="20.28515625" style="5" customWidth="1"/>
    <col min="8816" max="8816" width="12.42578125" style="5" customWidth="1"/>
    <col min="8817" max="8817" width="13" style="5" customWidth="1"/>
    <col min="8818" max="8818" width="12.5703125" style="5" customWidth="1"/>
    <col min="8819" max="8832" width="11.7109375" style="5" customWidth="1"/>
    <col min="8833" max="8833" width="12.28515625" style="5" customWidth="1"/>
    <col min="8834" max="8834" width="11.7109375" style="5" customWidth="1"/>
    <col min="8835" max="8835" width="12.85546875" style="5" customWidth="1"/>
    <col min="8836" max="8836" width="11.7109375" style="5" customWidth="1"/>
    <col min="8837" max="8837" width="12.7109375" style="5" customWidth="1"/>
    <col min="8838" max="8838" width="11.7109375" style="5" customWidth="1"/>
    <col min="8839" max="8839" width="13" style="5" customWidth="1"/>
    <col min="8840" max="8851" width="11.7109375" style="5" customWidth="1"/>
    <col min="8852" max="8852" width="12.5703125" style="5" customWidth="1"/>
    <col min="8853" max="8853" width="11.7109375" style="5" customWidth="1"/>
    <col min="8854" max="8854" width="13" style="5" customWidth="1"/>
    <col min="8855" max="8860" width="11.7109375" style="5" customWidth="1"/>
    <col min="8861" max="8861" width="13.7109375" style="5" customWidth="1"/>
    <col min="8862" max="8862" width="13.140625" style="5" customWidth="1"/>
    <col min="8863" max="8866" width="13" style="5" customWidth="1"/>
    <col min="8867" max="8873" width="11.7109375" style="5" customWidth="1"/>
    <col min="8874" max="8874" width="10.85546875" style="5" customWidth="1"/>
    <col min="8875" max="8875" width="11.7109375" style="5" customWidth="1"/>
    <col min="8876" max="8878" width="22.7109375" style="5" customWidth="1"/>
    <col min="8879" max="8881" width="20.7109375" style="5" customWidth="1"/>
    <col min="8882" max="9069" width="8.85546875" style="5"/>
    <col min="9070" max="9070" width="6.140625" style="5" customWidth="1"/>
    <col min="9071" max="9071" width="20.28515625" style="5" customWidth="1"/>
    <col min="9072" max="9072" width="12.42578125" style="5" customWidth="1"/>
    <col min="9073" max="9073" width="13" style="5" customWidth="1"/>
    <col min="9074" max="9074" width="12.5703125" style="5" customWidth="1"/>
    <col min="9075" max="9088" width="11.7109375" style="5" customWidth="1"/>
    <col min="9089" max="9089" width="12.28515625" style="5" customWidth="1"/>
    <col min="9090" max="9090" width="11.7109375" style="5" customWidth="1"/>
    <col min="9091" max="9091" width="12.85546875" style="5" customWidth="1"/>
    <col min="9092" max="9092" width="11.7109375" style="5" customWidth="1"/>
    <col min="9093" max="9093" width="12.7109375" style="5" customWidth="1"/>
    <col min="9094" max="9094" width="11.7109375" style="5" customWidth="1"/>
    <col min="9095" max="9095" width="13" style="5" customWidth="1"/>
    <col min="9096" max="9107" width="11.7109375" style="5" customWidth="1"/>
    <col min="9108" max="9108" width="12.5703125" style="5" customWidth="1"/>
    <col min="9109" max="9109" width="11.7109375" style="5" customWidth="1"/>
    <col min="9110" max="9110" width="13" style="5" customWidth="1"/>
    <col min="9111" max="9116" width="11.7109375" style="5" customWidth="1"/>
    <col min="9117" max="9117" width="13.7109375" style="5" customWidth="1"/>
    <col min="9118" max="9118" width="13.140625" style="5" customWidth="1"/>
    <col min="9119" max="9122" width="13" style="5" customWidth="1"/>
    <col min="9123" max="9129" width="11.7109375" style="5" customWidth="1"/>
    <col min="9130" max="9130" width="10.85546875" style="5" customWidth="1"/>
    <col min="9131" max="9131" width="11.7109375" style="5" customWidth="1"/>
    <col min="9132" max="9134" width="22.7109375" style="5" customWidth="1"/>
    <col min="9135" max="9137" width="20.7109375" style="5" customWidth="1"/>
    <col min="9138" max="9325" width="8.85546875" style="5"/>
    <col min="9326" max="9326" width="6.140625" style="5" customWidth="1"/>
    <col min="9327" max="9327" width="20.28515625" style="5" customWidth="1"/>
    <col min="9328" max="9328" width="12.42578125" style="5" customWidth="1"/>
    <col min="9329" max="9329" width="13" style="5" customWidth="1"/>
    <col min="9330" max="9330" width="12.5703125" style="5" customWidth="1"/>
    <col min="9331" max="9344" width="11.7109375" style="5" customWidth="1"/>
    <col min="9345" max="9345" width="12.28515625" style="5" customWidth="1"/>
    <col min="9346" max="9346" width="11.7109375" style="5" customWidth="1"/>
    <col min="9347" max="9347" width="12.85546875" style="5" customWidth="1"/>
    <col min="9348" max="9348" width="11.7109375" style="5" customWidth="1"/>
    <col min="9349" max="9349" width="12.7109375" style="5" customWidth="1"/>
    <col min="9350" max="9350" width="11.7109375" style="5" customWidth="1"/>
    <col min="9351" max="9351" width="13" style="5" customWidth="1"/>
    <col min="9352" max="9363" width="11.7109375" style="5" customWidth="1"/>
    <col min="9364" max="9364" width="12.5703125" style="5" customWidth="1"/>
    <col min="9365" max="9365" width="11.7109375" style="5" customWidth="1"/>
    <col min="9366" max="9366" width="13" style="5" customWidth="1"/>
    <col min="9367" max="9372" width="11.7109375" style="5" customWidth="1"/>
    <col min="9373" max="9373" width="13.7109375" style="5" customWidth="1"/>
    <col min="9374" max="9374" width="13.140625" style="5" customWidth="1"/>
    <col min="9375" max="9378" width="13" style="5" customWidth="1"/>
    <col min="9379" max="9385" width="11.7109375" style="5" customWidth="1"/>
    <col min="9386" max="9386" width="10.85546875" style="5" customWidth="1"/>
    <col min="9387" max="9387" width="11.7109375" style="5" customWidth="1"/>
    <col min="9388" max="9390" width="22.7109375" style="5" customWidth="1"/>
    <col min="9391" max="9393" width="20.7109375" style="5" customWidth="1"/>
    <col min="9394" max="9581" width="8.85546875" style="5"/>
    <col min="9582" max="9582" width="6.140625" style="5" customWidth="1"/>
    <col min="9583" max="9583" width="20.28515625" style="5" customWidth="1"/>
    <col min="9584" max="9584" width="12.42578125" style="5" customWidth="1"/>
    <col min="9585" max="9585" width="13" style="5" customWidth="1"/>
    <col min="9586" max="9586" width="12.5703125" style="5" customWidth="1"/>
    <col min="9587" max="9600" width="11.7109375" style="5" customWidth="1"/>
    <col min="9601" max="9601" width="12.28515625" style="5" customWidth="1"/>
    <col min="9602" max="9602" width="11.7109375" style="5" customWidth="1"/>
    <col min="9603" max="9603" width="12.85546875" style="5" customWidth="1"/>
    <col min="9604" max="9604" width="11.7109375" style="5" customWidth="1"/>
    <col min="9605" max="9605" width="12.7109375" style="5" customWidth="1"/>
    <col min="9606" max="9606" width="11.7109375" style="5" customWidth="1"/>
    <col min="9607" max="9607" width="13" style="5" customWidth="1"/>
    <col min="9608" max="9619" width="11.7109375" style="5" customWidth="1"/>
    <col min="9620" max="9620" width="12.5703125" style="5" customWidth="1"/>
    <col min="9621" max="9621" width="11.7109375" style="5" customWidth="1"/>
    <col min="9622" max="9622" width="13" style="5" customWidth="1"/>
    <col min="9623" max="9628" width="11.7109375" style="5" customWidth="1"/>
    <col min="9629" max="9629" width="13.7109375" style="5" customWidth="1"/>
    <col min="9630" max="9630" width="13.140625" style="5" customWidth="1"/>
    <col min="9631" max="9634" width="13" style="5" customWidth="1"/>
    <col min="9635" max="9641" width="11.7109375" style="5" customWidth="1"/>
    <col min="9642" max="9642" width="10.85546875" style="5" customWidth="1"/>
    <col min="9643" max="9643" width="11.7109375" style="5" customWidth="1"/>
    <col min="9644" max="9646" width="22.7109375" style="5" customWidth="1"/>
    <col min="9647" max="9649" width="20.7109375" style="5" customWidth="1"/>
    <col min="9650" max="9837" width="8.85546875" style="5"/>
    <col min="9838" max="9838" width="6.140625" style="5" customWidth="1"/>
    <col min="9839" max="9839" width="20.28515625" style="5" customWidth="1"/>
    <col min="9840" max="9840" width="12.42578125" style="5" customWidth="1"/>
    <col min="9841" max="9841" width="13" style="5" customWidth="1"/>
    <col min="9842" max="9842" width="12.5703125" style="5" customWidth="1"/>
    <col min="9843" max="9856" width="11.7109375" style="5" customWidth="1"/>
    <col min="9857" max="9857" width="12.28515625" style="5" customWidth="1"/>
    <col min="9858" max="9858" width="11.7109375" style="5" customWidth="1"/>
    <col min="9859" max="9859" width="12.85546875" style="5" customWidth="1"/>
    <col min="9860" max="9860" width="11.7109375" style="5" customWidth="1"/>
    <col min="9861" max="9861" width="12.7109375" style="5" customWidth="1"/>
    <col min="9862" max="9862" width="11.7109375" style="5" customWidth="1"/>
    <col min="9863" max="9863" width="13" style="5" customWidth="1"/>
    <col min="9864" max="9875" width="11.7109375" style="5" customWidth="1"/>
    <col min="9876" max="9876" width="12.5703125" style="5" customWidth="1"/>
    <col min="9877" max="9877" width="11.7109375" style="5" customWidth="1"/>
    <col min="9878" max="9878" width="13" style="5" customWidth="1"/>
    <col min="9879" max="9884" width="11.7109375" style="5" customWidth="1"/>
    <col min="9885" max="9885" width="13.7109375" style="5" customWidth="1"/>
    <col min="9886" max="9886" width="13.140625" style="5" customWidth="1"/>
    <col min="9887" max="9890" width="13" style="5" customWidth="1"/>
    <col min="9891" max="9897" width="11.7109375" style="5" customWidth="1"/>
    <col min="9898" max="9898" width="10.85546875" style="5" customWidth="1"/>
    <col min="9899" max="9899" width="11.7109375" style="5" customWidth="1"/>
    <col min="9900" max="9902" width="22.7109375" style="5" customWidth="1"/>
    <col min="9903" max="9905" width="20.7109375" style="5" customWidth="1"/>
    <col min="9906" max="10093" width="8.85546875" style="5"/>
    <col min="10094" max="10094" width="6.140625" style="5" customWidth="1"/>
    <col min="10095" max="10095" width="20.28515625" style="5" customWidth="1"/>
    <col min="10096" max="10096" width="12.42578125" style="5" customWidth="1"/>
    <col min="10097" max="10097" width="13" style="5" customWidth="1"/>
    <col min="10098" max="10098" width="12.5703125" style="5" customWidth="1"/>
    <col min="10099" max="10112" width="11.7109375" style="5" customWidth="1"/>
    <col min="10113" max="10113" width="12.28515625" style="5" customWidth="1"/>
    <col min="10114" max="10114" width="11.7109375" style="5" customWidth="1"/>
    <col min="10115" max="10115" width="12.85546875" style="5" customWidth="1"/>
    <col min="10116" max="10116" width="11.7109375" style="5" customWidth="1"/>
    <col min="10117" max="10117" width="12.7109375" style="5" customWidth="1"/>
    <col min="10118" max="10118" width="11.7109375" style="5" customWidth="1"/>
    <col min="10119" max="10119" width="13" style="5" customWidth="1"/>
    <col min="10120" max="10131" width="11.7109375" style="5" customWidth="1"/>
    <col min="10132" max="10132" width="12.5703125" style="5" customWidth="1"/>
    <col min="10133" max="10133" width="11.7109375" style="5" customWidth="1"/>
    <col min="10134" max="10134" width="13" style="5" customWidth="1"/>
    <col min="10135" max="10140" width="11.7109375" style="5" customWidth="1"/>
    <col min="10141" max="10141" width="13.7109375" style="5" customWidth="1"/>
    <col min="10142" max="10142" width="13.140625" style="5" customWidth="1"/>
    <col min="10143" max="10146" width="13" style="5" customWidth="1"/>
    <col min="10147" max="10153" width="11.7109375" style="5" customWidth="1"/>
    <col min="10154" max="10154" width="10.85546875" style="5" customWidth="1"/>
    <col min="10155" max="10155" width="11.7109375" style="5" customWidth="1"/>
    <col min="10156" max="10158" width="22.7109375" style="5" customWidth="1"/>
    <col min="10159" max="10161" width="20.7109375" style="5" customWidth="1"/>
    <col min="10162" max="10349" width="8.85546875" style="5"/>
    <col min="10350" max="10350" width="6.140625" style="5" customWidth="1"/>
    <col min="10351" max="10351" width="20.28515625" style="5" customWidth="1"/>
    <col min="10352" max="10352" width="12.42578125" style="5" customWidth="1"/>
    <col min="10353" max="10353" width="13" style="5" customWidth="1"/>
    <col min="10354" max="10354" width="12.5703125" style="5" customWidth="1"/>
    <col min="10355" max="10368" width="11.7109375" style="5" customWidth="1"/>
    <col min="10369" max="10369" width="12.28515625" style="5" customWidth="1"/>
    <col min="10370" max="10370" width="11.7109375" style="5" customWidth="1"/>
    <col min="10371" max="10371" width="12.85546875" style="5" customWidth="1"/>
    <col min="10372" max="10372" width="11.7109375" style="5" customWidth="1"/>
    <col min="10373" max="10373" width="12.7109375" style="5" customWidth="1"/>
    <col min="10374" max="10374" width="11.7109375" style="5" customWidth="1"/>
    <col min="10375" max="10375" width="13" style="5" customWidth="1"/>
    <col min="10376" max="10387" width="11.7109375" style="5" customWidth="1"/>
    <col min="10388" max="10388" width="12.5703125" style="5" customWidth="1"/>
    <col min="10389" max="10389" width="11.7109375" style="5" customWidth="1"/>
    <col min="10390" max="10390" width="13" style="5" customWidth="1"/>
    <col min="10391" max="10396" width="11.7109375" style="5" customWidth="1"/>
    <col min="10397" max="10397" width="13.7109375" style="5" customWidth="1"/>
    <col min="10398" max="10398" width="13.140625" style="5" customWidth="1"/>
    <col min="10399" max="10402" width="13" style="5" customWidth="1"/>
    <col min="10403" max="10409" width="11.7109375" style="5" customWidth="1"/>
    <col min="10410" max="10410" width="10.85546875" style="5" customWidth="1"/>
    <col min="10411" max="10411" width="11.7109375" style="5" customWidth="1"/>
    <col min="10412" max="10414" width="22.7109375" style="5" customWidth="1"/>
    <col min="10415" max="10417" width="20.7109375" style="5" customWidth="1"/>
    <col min="10418" max="10605" width="8.85546875" style="5"/>
    <col min="10606" max="10606" width="6.140625" style="5" customWidth="1"/>
    <col min="10607" max="10607" width="20.28515625" style="5" customWidth="1"/>
    <col min="10608" max="10608" width="12.42578125" style="5" customWidth="1"/>
    <col min="10609" max="10609" width="13" style="5" customWidth="1"/>
    <col min="10610" max="10610" width="12.5703125" style="5" customWidth="1"/>
    <col min="10611" max="10624" width="11.7109375" style="5" customWidth="1"/>
    <col min="10625" max="10625" width="12.28515625" style="5" customWidth="1"/>
    <col min="10626" max="10626" width="11.7109375" style="5" customWidth="1"/>
    <col min="10627" max="10627" width="12.85546875" style="5" customWidth="1"/>
    <col min="10628" max="10628" width="11.7109375" style="5" customWidth="1"/>
    <col min="10629" max="10629" width="12.7109375" style="5" customWidth="1"/>
    <col min="10630" max="10630" width="11.7109375" style="5" customWidth="1"/>
    <col min="10631" max="10631" width="13" style="5" customWidth="1"/>
    <col min="10632" max="10643" width="11.7109375" style="5" customWidth="1"/>
    <col min="10644" max="10644" width="12.5703125" style="5" customWidth="1"/>
    <col min="10645" max="10645" width="11.7109375" style="5" customWidth="1"/>
    <col min="10646" max="10646" width="13" style="5" customWidth="1"/>
    <col min="10647" max="10652" width="11.7109375" style="5" customWidth="1"/>
    <col min="10653" max="10653" width="13.7109375" style="5" customWidth="1"/>
    <col min="10654" max="10654" width="13.140625" style="5" customWidth="1"/>
    <col min="10655" max="10658" width="13" style="5" customWidth="1"/>
    <col min="10659" max="10665" width="11.7109375" style="5" customWidth="1"/>
    <col min="10666" max="10666" width="10.85546875" style="5" customWidth="1"/>
    <col min="10667" max="10667" width="11.7109375" style="5" customWidth="1"/>
    <col min="10668" max="10670" width="22.7109375" style="5" customWidth="1"/>
    <col min="10671" max="10673" width="20.7109375" style="5" customWidth="1"/>
    <col min="10674" max="10861" width="8.85546875" style="5"/>
    <col min="10862" max="10862" width="6.140625" style="5" customWidth="1"/>
    <col min="10863" max="10863" width="20.28515625" style="5" customWidth="1"/>
    <col min="10864" max="10864" width="12.42578125" style="5" customWidth="1"/>
    <col min="10865" max="10865" width="13" style="5" customWidth="1"/>
    <col min="10866" max="10866" width="12.5703125" style="5" customWidth="1"/>
    <col min="10867" max="10880" width="11.7109375" style="5" customWidth="1"/>
    <col min="10881" max="10881" width="12.28515625" style="5" customWidth="1"/>
    <col min="10882" max="10882" width="11.7109375" style="5" customWidth="1"/>
    <col min="10883" max="10883" width="12.85546875" style="5" customWidth="1"/>
    <col min="10884" max="10884" width="11.7109375" style="5" customWidth="1"/>
    <col min="10885" max="10885" width="12.7109375" style="5" customWidth="1"/>
    <col min="10886" max="10886" width="11.7109375" style="5" customWidth="1"/>
    <col min="10887" max="10887" width="13" style="5" customWidth="1"/>
    <col min="10888" max="10899" width="11.7109375" style="5" customWidth="1"/>
    <col min="10900" max="10900" width="12.5703125" style="5" customWidth="1"/>
    <col min="10901" max="10901" width="11.7109375" style="5" customWidth="1"/>
    <col min="10902" max="10902" width="13" style="5" customWidth="1"/>
    <col min="10903" max="10908" width="11.7109375" style="5" customWidth="1"/>
    <col min="10909" max="10909" width="13.7109375" style="5" customWidth="1"/>
    <col min="10910" max="10910" width="13.140625" style="5" customWidth="1"/>
    <col min="10911" max="10914" width="13" style="5" customWidth="1"/>
    <col min="10915" max="10921" width="11.7109375" style="5" customWidth="1"/>
    <col min="10922" max="10922" width="10.85546875" style="5" customWidth="1"/>
    <col min="10923" max="10923" width="11.7109375" style="5" customWidth="1"/>
    <col min="10924" max="10926" width="22.7109375" style="5" customWidth="1"/>
    <col min="10927" max="10929" width="20.7109375" style="5" customWidth="1"/>
    <col min="10930" max="11117" width="8.85546875" style="5"/>
    <col min="11118" max="11118" width="6.140625" style="5" customWidth="1"/>
    <col min="11119" max="11119" width="20.28515625" style="5" customWidth="1"/>
    <col min="11120" max="11120" width="12.42578125" style="5" customWidth="1"/>
    <col min="11121" max="11121" width="13" style="5" customWidth="1"/>
    <col min="11122" max="11122" width="12.5703125" style="5" customWidth="1"/>
    <col min="11123" max="11136" width="11.7109375" style="5" customWidth="1"/>
    <col min="11137" max="11137" width="12.28515625" style="5" customWidth="1"/>
    <col min="11138" max="11138" width="11.7109375" style="5" customWidth="1"/>
    <col min="11139" max="11139" width="12.85546875" style="5" customWidth="1"/>
    <col min="11140" max="11140" width="11.7109375" style="5" customWidth="1"/>
    <col min="11141" max="11141" width="12.7109375" style="5" customWidth="1"/>
    <col min="11142" max="11142" width="11.7109375" style="5" customWidth="1"/>
    <col min="11143" max="11143" width="13" style="5" customWidth="1"/>
    <col min="11144" max="11155" width="11.7109375" style="5" customWidth="1"/>
    <col min="11156" max="11156" width="12.5703125" style="5" customWidth="1"/>
    <col min="11157" max="11157" width="11.7109375" style="5" customWidth="1"/>
    <col min="11158" max="11158" width="13" style="5" customWidth="1"/>
    <col min="11159" max="11164" width="11.7109375" style="5" customWidth="1"/>
    <col min="11165" max="11165" width="13.7109375" style="5" customWidth="1"/>
    <col min="11166" max="11166" width="13.140625" style="5" customWidth="1"/>
    <col min="11167" max="11170" width="13" style="5" customWidth="1"/>
    <col min="11171" max="11177" width="11.7109375" style="5" customWidth="1"/>
    <col min="11178" max="11178" width="10.85546875" style="5" customWidth="1"/>
    <col min="11179" max="11179" width="11.7109375" style="5" customWidth="1"/>
    <col min="11180" max="11182" width="22.7109375" style="5" customWidth="1"/>
    <col min="11183" max="11185" width="20.7109375" style="5" customWidth="1"/>
    <col min="11186" max="11373" width="8.85546875" style="5"/>
    <col min="11374" max="11374" width="6.140625" style="5" customWidth="1"/>
    <col min="11375" max="11375" width="20.28515625" style="5" customWidth="1"/>
    <col min="11376" max="11376" width="12.42578125" style="5" customWidth="1"/>
    <col min="11377" max="11377" width="13" style="5" customWidth="1"/>
    <col min="11378" max="11378" width="12.5703125" style="5" customWidth="1"/>
    <col min="11379" max="11392" width="11.7109375" style="5" customWidth="1"/>
    <col min="11393" max="11393" width="12.28515625" style="5" customWidth="1"/>
    <col min="11394" max="11394" width="11.7109375" style="5" customWidth="1"/>
    <col min="11395" max="11395" width="12.85546875" style="5" customWidth="1"/>
    <col min="11396" max="11396" width="11.7109375" style="5" customWidth="1"/>
    <col min="11397" max="11397" width="12.7109375" style="5" customWidth="1"/>
    <col min="11398" max="11398" width="11.7109375" style="5" customWidth="1"/>
    <col min="11399" max="11399" width="13" style="5" customWidth="1"/>
    <col min="11400" max="11411" width="11.7109375" style="5" customWidth="1"/>
    <col min="11412" max="11412" width="12.5703125" style="5" customWidth="1"/>
    <col min="11413" max="11413" width="11.7109375" style="5" customWidth="1"/>
    <col min="11414" max="11414" width="13" style="5" customWidth="1"/>
    <col min="11415" max="11420" width="11.7109375" style="5" customWidth="1"/>
    <col min="11421" max="11421" width="13.7109375" style="5" customWidth="1"/>
    <col min="11422" max="11422" width="13.140625" style="5" customWidth="1"/>
    <col min="11423" max="11426" width="13" style="5" customWidth="1"/>
    <col min="11427" max="11433" width="11.7109375" style="5" customWidth="1"/>
    <col min="11434" max="11434" width="10.85546875" style="5" customWidth="1"/>
    <col min="11435" max="11435" width="11.7109375" style="5" customWidth="1"/>
    <col min="11436" max="11438" width="22.7109375" style="5" customWidth="1"/>
    <col min="11439" max="11441" width="20.7109375" style="5" customWidth="1"/>
    <col min="11442" max="11629" width="8.85546875" style="5"/>
    <col min="11630" max="11630" width="6.140625" style="5" customWidth="1"/>
    <col min="11631" max="11631" width="20.28515625" style="5" customWidth="1"/>
    <col min="11632" max="11632" width="12.42578125" style="5" customWidth="1"/>
    <col min="11633" max="11633" width="13" style="5" customWidth="1"/>
    <col min="11634" max="11634" width="12.5703125" style="5" customWidth="1"/>
    <col min="11635" max="11648" width="11.7109375" style="5" customWidth="1"/>
    <col min="11649" max="11649" width="12.28515625" style="5" customWidth="1"/>
    <col min="11650" max="11650" width="11.7109375" style="5" customWidth="1"/>
    <col min="11651" max="11651" width="12.85546875" style="5" customWidth="1"/>
    <col min="11652" max="11652" width="11.7109375" style="5" customWidth="1"/>
    <col min="11653" max="11653" width="12.7109375" style="5" customWidth="1"/>
    <col min="11654" max="11654" width="11.7109375" style="5" customWidth="1"/>
    <col min="11655" max="11655" width="13" style="5" customWidth="1"/>
    <col min="11656" max="11667" width="11.7109375" style="5" customWidth="1"/>
    <col min="11668" max="11668" width="12.5703125" style="5" customWidth="1"/>
    <col min="11669" max="11669" width="11.7109375" style="5" customWidth="1"/>
    <col min="11670" max="11670" width="13" style="5" customWidth="1"/>
    <col min="11671" max="11676" width="11.7109375" style="5" customWidth="1"/>
    <col min="11677" max="11677" width="13.7109375" style="5" customWidth="1"/>
    <col min="11678" max="11678" width="13.140625" style="5" customWidth="1"/>
    <col min="11679" max="11682" width="13" style="5" customWidth="1"/>
    <col min="11683" max="11689" width="11.7109375" style="5" customWidth="1"/>
    <col min="11690" max="11690" width="10.85546875" style="5" customWidth="1"/>
    <col min="11691" max="11691" width="11.7109375" style="5" customWidth="1"/>
    <col min="11692" max="11694" width="22.7109375" style="5" customWidth="1"/>
    <col min="11695" max="11697" width="20.7109375" style="5" customWidth="1"/>
    <col min="11698" max="11885" width="8.85546875" style="5"/>
    <col min="11886" max="11886" width="6.140625" style="5" customWidth="1"/>
    <col min="11887" max="11887" width="20.28515625" style="5" customWidth="1"/>
    <col min="11888" max="11888" width="12.42578125" style="5" customWidth="1"/>
    <col min="11889" max="11889" width="13" style="5" customWidth="1"/>
    <col min="11890" max="11890" width="12.5703125" style="5" customWidth="1"/>
    <col min="11891" max="11904" width="11.7109375" style="5" customWidth="1"/>
    <col min="11905" max="11905" width="12.28515625" style="5" customWidth="1"/>
    <col min="11906" max="11906" width="11.7109375" style="5" customWidth="1"/>
    <col min="11907" max="11907" width="12.85546875" style="5" customWidth="1"/>
    <col min="11908" max="11908" width="11.7109375" style="5" customWidth="1"/>
    <col min="11909" max="11909" width="12.7109375" style="5" customWidth="1"/>
    <col min="11910" max="11910" width="11.7109375" style="5" customWidth="1"/>
    <col min="11911" max="11911" width="13" style="5" customWidth="1"/>
    <col min="11912" max="11923" width="11.7109375" style="5" customWidth="1"/>
    <col min="11924" max="11924" width="12.5703125" style="5" customWidth="1"/>
    <col min="11925" max="11925" width="11.7109375" style="5" customWidth="1"/>
    <col min="11926" max="11926" width="13" style="5" customWidth="1"/>
    <col min="11927" max="11932" width="11.7109375" style="5" customWidth="1"/>
    <col min="11933" max="11933" width="13.7109375" style="5" customWidth="1"/>
    <col min="11934" max="11934" width="13.140625" style="5" customWidth="1"/>
    <col min="11935" max="11938" width="13" style="5" customWidth="1"/>
    <col min="11939" max="11945" width="11.7109375" style="5" customWidth="1"/>
    <col min="11946" max="11946" width="10.85546875" style="5" customWidth="1"/>
    <col min="11947" max="11947" width="11.7109375" style="5" customWidth="1"/>
    <col min="11948" max="11950" width="22.7109375" style="5" customWidth="1"/>
    <col min="11951" max="11953" width="20.7109375" style="5" customWidth="1"/>
    <col min="11954" max="12141" width="8.85546875" style="5"/>
    <col min="12142" max="12142" width="6.140625" style="5" customWidth="1"/>
    <col min="12143" max="12143" width="20.28515625" style="5" customWidth="1"/>
    <col min="12144" max="12144" width="12.42578125" style="5" customWidth="1"/>
    <col min="12145" max="12145" width="13" style="5" customWidth="1"/>
    <col min="12146" max="12146" width="12.5703125" style="5" customWidth="1"/>
    <col min="12147" max="12160" width="11.7109375" style="5" customWidth="1"/>
    <col min="12161" max="12161" width="12.28515625" style="5" customWidth="1"/>
    <col min="12162" max="12162" width="11.7109375" style="5" customWidth="1"/>
    <col min="12163" max="12163" width="12.85546875" style="5" customWidth="1"/>
    <col min="12164" max="12164" width="11.7109375" style="5" customWidth="1"/>
    <col min="12165" max="12165" width="12.7109375" style="5" customWidth="1"/>
    <col min="12166" max="12166" width="11.7109375" style="5" customWidth="1"/>
    <col min="12167" max="12167" width="13" style="5" customWidth="1"/>
    <col min="12168" max="12179" width="11.7109375" style="5" customWidth="1"/>
    <col min="12180" max="12180" width="12.5703125" style="5" customWidth="1"/>
    <col min="12181" max="12181" width="11.7109375" style="5" customWidth="1"/>
    <col min="12182" max="12182" width="13" style="5" customWidth="1"/>
    <col min="12183" max="12188" width="11.7109375" style="5" customWidth="1"/>
    <col min="12189" max="12189" width="13.7109375" style="5" customWidth="1"/>
    <col min="12190" max="12190" width="13.140625" style="5" customWidth="1"/>
    <col min="12191" max="12194" width="13" style="5" customWidth="1"/>
    <col min="12195" max="12201" width="11.7109375" style="5" customWidth="1"/>
    <col min="12202" max="12202" width="10.85546875" style="5" customWidth="1"/>
    <col min="12203" max="12203" width="11.7109375" style="5" customWidth="1"/>
    <col min="12204" max="12206" width="22.7109375" style="5" customWidth="1"/>
    <col min="12207" max="12209" width="20.7109375" style="5" customWidth="1"/>
    <col min="12210" max="12397" width="8.85546875" style="5"/>
    <col min="12398" max="12398" width="6.140625" style="5" customWidth="1"/>
    <col min="12399" max="12399" width="20.28515625" style="5" customWidth="1"/>
    <col min="12400" max="12400" width="12.42578125" style="5" customWidth="1"/>
    <col min="12401" max="12401" width="13" style="5" customWidth="1"/>
    <col min="12402" max="12402" width="12.5703125" style="5" customWidth="1"/>
    <col min="12403" max="12416" width="11.7109375" style="5" customWidth="1"/>
    <col min="12417" max="12417" width="12.28515625" style="5" customWidth="1"/>
    <col min="12418" max="12418" width="11.7109375" style="5" customWidth="1"/>
    <col min="12419" max="12419" width="12.85546875" style="5" customWidth="1"/>
    <col min="12420" max="12420" width="11.7109375" style="5" customWidth="1"/>
    <col min="12421" max="12421" width="12.7109375" style="5" customWidth="1"/>
    <col min="12422" max="12422" width="11.7109375" style="5" customWidth="1"/>
    <col min="12423" max="12423" width="13" style="5" customWidth="1"/>
    <col min="12424" max="12435" width="11.7109375" style="5" customWidth="1"/>
    <col min="12436" max="12436" width="12.5703125" style="5" customWidth="1"/>
    <col min="12437" max="12437" width="11.7109375" style="5" customWidth="1"/>
    <col min="12438" max="12438" width="13" style="5" customWidth="1"/>
    <col min="12439" max="12444" width="11.7109375" style="5" customWidth="1"/>
    <col min="12445" max="12445" width="13.7109375" style="5" customWidth="1"/>
    <col min="12446" max="12446" width="13.140625" style="5" customWidth="1"/>
    <col min="12447" max="12450" width="13" style="5" customWidth="1"/>
    <col min="12451" max="12457" width="11.7109375" style="5" customWidth="1"/>
    <col min="12458" max="12458" width="10.85546875" style="5" customWidth="1"/>
    <col min="12459" max="12459" width="11.7109375" style="5" customWidth="1"/>
    <col min="12460" max="12462" width="22.7109375" style="5" customWidth="1"/>
    <col min="12463" max="12465" width="20.7109375" style="5" customWidth="1"/>
    <col min="12466" max="12653" width="8.85546875" style="5"/>
    <col min="12654" max="12654" width="6.140625" style="5" customWidth="1"/>
    <col min="12655" max="12655" width="20.28515625" style="5" customWidth="1"/>
    <col min="12656" max="12656" width="12.42578125" style="5" customWidth="1"/>
    <col min="12657" max="12657" width="13" style="5" customWidth="1"/>
    <col min="12658" max="12658" width="12.5703125" style="5" customWidth="1"/>
    <col min="12659" max="12672" width="11.7109375" style="5" customWidth="1"/>
    <col min="12673" max="12673" width="12.28515625" style="5" customWidth="1"/>
    <col min="12674" max="12674" width="11.7109375" style="5" customWidth="1"/>
    <col min="12675" max="12675" width="12.85546875" style="5" customWidth="1"/>
    <col min="12676" max="12676" width="11.7109375" style="5" customWidth="1"/>
    <col min="12677" max="12677" width="12.7109375" style="5" customWidth="1"/>
    <col min="12678" max="12678" width="11.7109375" style="5" customWidth="1"/>
    <col min="12679" max="12679" width="13" style="5" customWidth="1"/>
    <col min="12680" max="12691" width="11.7109375" style="5" customWidth="1"/>
    <col min="12692" max="12692" width="12.5703125" style="5" customWidth="1"/>
    <col min="12693" max="12693" width="11.7109375" style="5" customWidth="1"/>
    <col min="12694" max="12694" width="13" style="5" customWidth="1"/>
    <col min="12695" max="12700" width="11.7109375" style="5" customWidth="1"/>
    <col min="12701" max="12701" width="13.7109375" style="5" customWidth="1"/>
    <col min="12702" max="12702" width="13.140625" style="5" customWidth="1"/>
    <col min="12703" max="12706" width="13" style="5" customWidth="1"/>
    <col min="12707" max="12713" width="11.7109375" style="5" customWidth="1"/>
    <col min="12714" max="12714" width="10.85546875" style="5" customWidth="1"/>
    <col min="12715" max="12715" width="11.7109375" style="5" customWidth="1"/>
    <col min="12716" max="12718" width="22.7109375" style="5" customWidth="1"/>
    <col min="12719" max="12721" width="20.7109375" style="5" customWidth="1"/>
    <col min="12722" max="12909" width="8.85546875" style="5"/>
    <col min="12910" max="12910" width="6.140625" style="5" customWidth="1"/>
    <col min="12911" max="12911" width="20.28515625" style="5" customWidth="1"/>
    <col min="12912" max="12912" width="12.42578125" style="5" customWidth="1"/>
    <col min="12913" max="12913" width="13" style="5" customWidth="1"/>
    <col min="12914" max="12914" width="12.5703125" style="5" customWidth="1"/>
    <col min="12915" max="12928" width="11.7109375" style="5" customWidth="1"/>
    <col min="12929" max="12929" width="12.28515625" style="5" customWidth="1"/>
    <col min="12930" max="12930" width="11.7109375" style="5" customWidth="1"/>
    <col min="12931" max="12931" width="12.85546875" style="5" customWidth="1"/>
    <col min="12932" max="12932" width="11.7109375" style="5" customWidth="1"/>
    <col min="12933" max="12933" width="12.7109375" style="5" customWidth="1"/>
    <col min="12934" max="12934" width="11.7109375" style="5" customWidth="1"/>
    <col min="12935" max="12935" width="13" style="5" customWidth="1"/>
    <col min="12936" max="12947" width="11.7109375" style="5" customWidth="1"/>
    <col min="12948" max="12948" width="12.5703125" style="5" customWidth="1"/>
    <col min="12949" max="12949" width="11.7109375" style="5" customWidth="1"/>
    <col min="12950" max="12950" width="13" style="5" customWidth="1"/>
    <col min="12951" max="12956" width="11.7109375" style="5" customWidth="1"/>
    <col min="12957" max="12957" width="13.7109375" style="5" customWidth="1"/>
    <col min="12958" max="12958" width="13.140625" style="5" customWidth="1"/>
    <col min="12959" max="12962" width="13" style="5" customWidth="1"/>
    <col min="12963" max="12969" width="11.7109375" style="5" customWidth="1"/>
    <col min="12970" max="12970" width="10.85546875" style="5" customWidth="1"/>
    <col min="12971" max="12971" width="11.7109375" style="5" customWidth="1"/>
    <col min="12972" max="12974" width="22.7109375" style="5" customWidth="1"/>
    <col min="12975" max="12977" width="20.7109375" style="5" customWidth="1"/>
    <col min="12978" max="13165" width="8.85546875" style="5"/>
    <col min="13166" max="13166" width="6.140625" style="5" customWidth="1"/>
    <col min="13167" max="13167" width="20.28515625" style="5" customWidth="1"/>
    <col min="13168" max="13168" width="12.42578125" style="5" customWidth="1"/>
    <col min="13169" max="13169" width="13" style="5" customWidth="1"/>
    <col min="13170" max="13170" width="12.5703125" style="5" customWidth="1"/>
    <col min="13171" max="13184" width="11.7109375" style="5" customWidth="1"/>
    <col min="13185" max="13185" width="12.28515625" style="5" customWidth="1"/>
    <col min="13186" max="13186" width="11.7109375" style="5" customWidth="1"/>
    <col min="13187" max="13187" width="12.85546875" style="5" customWidth="1"/>
    <col min="13188" max="13188" width="11.7109375" style="5" customWidth="1"/>
    <col min="13189" max="13189" width="12.7109375" style="5" customWidth="1"/>
    <col min="13190" max="13190" width="11.7109375" style="5" customWidth="1"/>
    <col min="13191" max="13191" width="13" style="5" customWidth="1"/>
    <col min="13192" max="13203" width="11.7109375" style="5" customWidth="1"/>
    <col min="13204" max="13204" width="12.5703125" style="5" customWidth="1"/>
    <col min="13205" max="13205" width="11.7109375" style="5" customWidth="1"/>
    <col min="13206" max="13206" width="13" style="5" customWidth="1"/>
    <col min="13207" max="13212" width="11.7109375" style="5" customWidth="1"/>
    <col min="13213" max="13213" width="13.7109375" style="5" customWidth="1"/>
    <col min="13214" max="13214" width="13.140625" style="5" customWidth="1"/>
    <col min="13215" max="13218" width="13" style="5" customWidth="1"/>
    <col min="13219" max="13225" width="11.7109375" style="5" customWidth="1"/>
    <col min="13226" max="13226" width="10.85546875" style="5" customWidth="1"/>
    <col min="13227" max="13227" width="11.7109375" style="5" customWidth="1"/>
    <col min="13228" max="13230" width="22.7109375" style="5" customWidth="1"/>
    <col min="13231" max="13233" width="20.7109375" style="5" customWidth="1"/>
    <col min="13234" max="13421" width="8.85546875" style="5"/>
    <col min="13422" max="13422" width="6.140625" style="5" customWidth="1"/>
    <col min="13423" max="13423" width="20.28515625" style="5" customWidth="1"/>
    <col min="13424" max="13424" width="12.42578125" style="5" customWidth="1"/>
    <col min="13425" max="13425" width="13" style="5" customWidth="1"/>
    <col min="13426" max="13426" width="12.5703125" style="5" customWidth="1"/>
    <col min="13427" max="13440" width="11.7109375" style="5" customWidth="1"/>
    <col min="13441" max="13441" width="12.28515625" style="5" customWidth="1"/>
    <col min="13442" max="13442" width="11.7109375" style="5" customWidth="1"/>
    <col min="13443" max="13443" width="12.85546875" style="5" customWidth="1"/>
    <col min="13444" max="13444" width="11.7109375" style="5" customWidth="1"/>
    <col min="13445" max="13445" width="12.7109375" style="5" customWidth="1"/>
    <col min="13446" max="13446" width="11.7109375" style="5" customWidth="1"/>
    <col min="13447" max="13447" width="13" style="5" customWidth="1"/>
    <col min="13448" max="13459" width="11.7109375" style="5" customWidth="1"/>
    <col min="13460" max="13460" width="12.5703125" style="5" customWidth="1"/>
    <col min="13461" max="13461" width="11.7109375" style="5" customWidth="1"/>
    <col min="13462" max="13462" width="13" style="5" customWidth="1"/>
    <col min="13463" max="13468" width="11.7109375" style="5" customWidth="1"/>
    <col min="13469" max="13469" width="13.7109375" style="5" customWidth="1"/>
    <col min="13470" max="13470" width="13.140625" style="5" customWidth="1"/>
    <col min="13471" max="13474" width="13" style="5" customWidth="1"/>
    <col min="13475" max="13481" width="11.7109375" style="5" customWidth="1"/>
    <col min="13482" max="13482" width="10.85546875" style="5" customWidth="1"/>
    <col min="13483" max="13483" width="11.7109375" style="5" customWidth="1"/>
    <col min="13484" max="13486" width="22.7109375" style="5" customWidth="1"/>
    <col min="13487" max="13489" width="20.7109375" style="5" customWidth="1"/>
    <col min="13490" max="13677" width="8.85546875" style="5"/>
    <col min="13678" max="13678" width="6.140625" style="5" customWidth="1"/>
    <col min="13679" max="13679" width="20.28515625" style="5" customWidth="1"/>
    <col min="13680" max="13680" width="12.42578125" style="5" customWidth="1"/>
    <col min="13681" max="13681" width="13" style="5" customWidth="1"/>
    <col min="13682" max="13682" width="12.5703125" style="5" customWidth="1"/>
    <col min="13683" max="13696" width="11.7109375" style="5" customWidth="1"/>
    <col min="13697" max="13697" width="12.28515625" style="5" customWidth="1"/>
    <col min="13698" max="13698" width="11.7109375" style="5" customWidth="1"/>
    <col min="13699" max="13699" width="12.85546875" style="5" customWidth="1"/>
    <col min="13700" max="13700" width="11.7109375" style="5" customWidth="1"/>
    <col min="13701" max="13701" width="12.7109375" style="5" customWidth="1"/>
    <col min="13702" max="13702" width="11.7109375" style="5" customWidth="1"/>
    <col min="13703" max="13703" width="13" style="5" customWidth="1"/>
    <col min="13704" max="13715" width="11.7109375" style="5" customWidth="1"/>
    <col min="13716" max="13716" width="12.5703125" style="5" customWidth="1"/>
    <col min="13717" max="13717" width="11.7109375" style="5" customWidth="1"/>
    <col min="13718" max="13718" width="13" style="5" customWidth="1"/>
    <col min="13719" max="13724" width="11.7109375" style="5" customWidth="1"/>
    <col min="13725" max="13725" width="13.7109375" style="5" customWidth="1"/>
    <col min="13726" max="13726" width="13.140625" style="5" customWidth="1"/>
    <col min="13727" max="13730" width="13" style="5" customWidth="1"/>
    <col min="13731" max="13737" width="11.7109375" style="5" customWidth="1"/>
    <col min="13738" max="13738" width="10.85546875" style="5" customWidth="1"/>
    <col min="13739" max="13739" width="11.7109375" style="5" customWidth="1"/>
    <col min="13740" max="13742" width="22.7109375" style="5" customWidth="1"/>
    <col min="13743" max="13745" width="20.7109375" style="5" customWidth="1"/>
    <col min="13746" max="13933" width="8.85546875" style="5"/>
    <col min="13934" max="13934" width="6.140625" style="5" customWidth="1"/>
    <col min="13935" max="13935" width="20.28515625" style="5" customWidth="1"/>
    <col min="13936" max="13936" width="12.42578125" style="5" customWidth="1"/>
    <col min="13937" max="13937" width="13" style="5" customWidth="1"/>
    <col min="13938" max="13938" width="12.5703125" style="5" customWidth="1"/>
    <col min="13939" max="13952" width="11.7109375" style="5" customWidth="1"/>
    <col min="13953" max="13953" width="12.28515625" style="5" customWidth="1"/>
    <col min="13954" max="13954" width="11.7109375" style="5" customWidth="1"/>
    <col min="13955" max="13955" width="12.85546875" style="5" customWidth="1"/>
    <col min="13956" max="13956" width="11.7109375" style="5" customWidth="1"/>
    <col min="13957" max="13957" width="12.7109375" style="5" customWidth="1"/>
    <col min="13958" max="13958" width="11.7109375" style="5" customWidth="1"/>
    <col min="13959" max="13959" width="13" style="5" customWidth="1"/>
    <col min="13960" max="13971" width="11.7109375" style="5" customWidth="1"/>
    <col min="13972" max="13972" width="12.5703125" style="5" customWidth="1"/>
    <col min="13973" max="13973" width="11.7109375" style="5" customWidth="1"/>
    <col min="13974" max="13974" width="13" style="5" customWidth="1"/>
    <col min="13975" max="13980" width="11.7109375" style="5" customWidth="1"/>
    <col min="13981" max="13981" width="13.7109375" style="5" customWidth="1"/>
    <col min="13982" max="13982" width="13.140625" style="5" customWidth="1"/>
    <col min="13983" max="13986" width="13" style="5" customWidth="1"/>
    <col min="13987" max="13993" width="11.7109375" style="5" customWidth="1"/>
    <col min="13994" max="13994" width="10.85546875" style="5" customWidth="1"/>
    <col min="13995" max="13995" width="11.7109375" style="5" customWidth="1"/>
    <col min="13996" max="13998" width="22.7109375" style="5" customWidth="1"/>
    <col min="13999" max="14001" width="20.7109375" style="5" customWidth="1"/>
    <col min="14002" max="14189" width="8.85546875" style="5"/>
    <col min="14190" max="14190" width="6.140625" style="5" customWidth="1"/>
    <col min="14191" max="14191" width="20.28515625" style="5" customWidth="1"/>
    <col min="14192" max="14192" width="12.42578125" style="5" customWidth="1"/>
    <col min="14193" max="14193" width="13" style="5" customWidth="1"/>
    <col min="14194" max="14194" width="12.5703125" style="5" customWidth="1"/>
    <col min="14195" max="14208" width="11.7109375" style="5" customWidth="1"/>
    <col min="14209" max="14209" width="12.28515625" style="5" customWidth="1"/>
    <col min="14210" max="14210" width="11.7109375" style="5" customWidth="1"/>
    <col min="14211" max="14211" width="12.85546875" style="5" customWidth="1"/>
    <col min="14212" max="14212" width="11.7109375" style="5" customWidth="1"/>
    <col min="14213" max="14213" width="12.7109375" style="5" customWidth="1"/>
    <col min="14214" max="14214" width="11.7109375" style="5" customWidth="1"/>
    <col min="14215" max="14215" width="13" style="5" customWidth="1"/>
    <col min="14216" max="14227" width="11.7109375" style="5" customWidth="1"/>
    <col min="14228" max="14228" width="12.5703125" style="5" customWidth="1"/>
    <col min="14229" max="14229" width="11.7109375" style="5" customWidth="1"/>
    <col min="14230" max="14230" width="13" style="5" customWidth="1"/>
    <col min="14231" max="14236" width="11.7109375" style="5" customWidth="1"/>
    <col min="14237" max="14237" width="13.7109375" style="5" customWidth="1"/>
    <col min="14238" max="14238" width="13.140625" style="5" customWidth="1"/>
    <col min="14239" max="14242" width="13" style="5" customWidth="1"/>
    <col min="14243" max="14249" width="11.7109375" style="5" customWidth="1"/>
    <col min="14250" max="14250" width="10.85546875" style="5" customWidth="1"/>
    <col min="14251" max="14251" width="11.7109375" style="5" customWidth="1"/>
    <col min="14252" max="14254" width="22.7109375" style="5" customWidth="1"/>
    <col min="14255" max="14257" width="20.7109375" style="5" customWidth="1"/>
    <col min="14258" max="14445" width="8.85546875" style="5"/>
    <col min="14446" max="14446" width="6.140625" style="5" customWidth="1"/>
    <col min="14447" max="14447" width="20.28515625" style="5" customWidth="1"/>
    <col min="14448" max="14448" width="12.42578125" style="5" customWidth="1"/>
    <col min="14449" max="14449" width="13" style="5" customWidth="1"/>
    <col min="14450" max="14450" width="12.5703125" style="5" customWidth="1"/>
    <col min="14451" max="14464" width="11.7109375" style="5" customWidth="1"/>
    <col min="14465" max="14465" width="12.28515625" style="5" customWidth="1"/>
    <col min="14466" max="14466" width="11.7109375" style="5" customWidth="1"/>
    <col min="14467" max="14467" width="12.85546875" style="5" customWidth="1"/>
    <col min="14468" max="14468" width="11.7109375" style="5" customWidth="1"/>
    <col min="14469" max="14469" width="12.7109375" style="5" customWidth="1"/>
    <col min="14470" max="14470" width="11.7109375" style="5" customWidth="1"/>
    <col min="14471" max="14471" width="13" style="5" customWidth="1"/>
    <col min="14472" max="14483" width="11.7109375" style="5" customWidth="1"/>
    <col min="14484" max="14484" width="12.5703125" style="5" customWidth="1"/>
    <col min="14485" max="14485" width="11.7109375" style="5" customWidth="1"/>
    <col min="14486" max="14486" width="13" style="5" customWidth="1"/>
    <col min="14487" max="14492" width="11.7109375" style="5" customWidth="1"/>
    <col min="14493" max="14493" width="13.7109375" style="5" customWidth="1"/>
    <col min="14494" max="14494" width="13.140625" style="5" customWidth="1"/>
    <col min="14495" max="14498" width="13" style="5" customWidth="1"/>
    <col min="14499" max="14505" width="11.7109375" style="5" customWidth="1"/>
    <col min="14506" max="14506" width="10.85546875" style="5" customWidth="1"/>
    <col min="14507" max="14507" width="11.7109375" style="5" customWidth="1"/>
    <col min="14508" max="14510" width="22.7109375" style="5" customWidth="1"/>
    <col min="14511" max="14513" width="20.7109375" style="5" customWidth="1"/>
    <col min="14514" max="14701" width="8.85546875" style="5"/>
    <col min="14702" max="14702" width="6.140625" style="5" customWidth="1"/>
    <col min="14703" max="14703" width="20.28515625" style="5" customWidth="1"/>
    <col min="14704" max="14704" width="12.42578125" style="5" customWidth="1"/>
    <col min="14705" max="14705" width="13" style="5" customWidth="1"/>
    <col min="14706" max="14706" width="12.5703125" style="5" customWidth="1"/>
    <col min="14707" max="14720" width="11.7109375" style="5" customWidth="1"/>
    <col min="14721" max="14721" width="12.28515625" style="5" customWidth="1"/>
    <col min="14722" max="14722" width="11.7109375" style="5" customWidth="1"/>
    <col min="14723" max="14723" width="12.85546875" style="5" customWidth="1"/>
    <col min="14724" max="14724" width="11.7109375" style="5" customWidth="1"/>
    <col min="14725" max="14725" width="12.7109375" style="5" customWidth="1"/>
    <col min="14726" max="14726" width="11.7109375" style="5" customWidth="1"/>
    <col min="14727" max="14727" width="13" style="5" customWidth="1"/>
    <col min="14728" max="14739" width="11.7109375" style="5" customWidth="1"/>
    <col min="14740" max="14740" width="12.5703125" style="5" customWidth="1"/>
    <col min="14741" max="14741" width="11.7109375" style="5" customWidth="1"/>
    <col min="14742" max="14742" width="13" style="5" customWidth="1"/>
    <col min="14743" max="14748" width="11.7109375" style="5" customWidth="1"/>
    <col min="14749" max="14749" width="13.7109375" style="5" customWidth="1"/>
    <col min="14750" max="14750" width="13.140625" style="5" customWidth="1"/>
    <col min="14751" max="14754" width="13" style="5" customWidth="1"/>
    <col min="14755" max="14761" width="11.7109375" style="5" customWidth="1"/>
    <col min="14762" max="14762" width="10.85546875" style="5" customWidth="1"/>
    <col min="14763" max="14763" width="11.7109375" style="5" customWidth="1"/>
    <col min="14764" max="14766" width="22.7109375" style="5" customWidth="1"/>
    <col min="14767" max="14769" width="20.7109375" style="5" customWidth="1"/>
    <col min="14770" max="14957" width="8.85546875" style="5"/>
    <col min="14958" max="14958" width="6.140625" style="5" customWidth="1"/>
    <col min="14959" max="14959" width="20.28515625" style="5" customWidth="1"/>
    <col min="14960" max="14960" width="12.42578125" style="5" customWidth="1"/>
    <col min="14961" max="14961" width="13" style="5" customWidth="1"/>
    <col min="14962" max="14962" width="12.5703125" style="5" customWidth="1"/>
    <col min="14963" max="14976" width="11.7109375" style="5" customWidth="1"/>
    <col min="14977" max="14977" width="12.28515625" style="5" customWidth="1"/>
    <col min="14978" max="14978" width="11.7109375" style="5" customWidth="1"/>
    <col min="14979" max="14979" width="12.85546875" style="5" customWidth="1"/>
    <col min="14980" max="14980" width="11.7109375" style="5" customWidth="1"/>
    <col min="14981" max="14981" width="12.7109375" style="5" customWidth="1"/>
    <col min="14982" max="14982" width="11.7109375" style="5" customWidth="1"/>
    <col min="14983" max="14983" width="13" style="5" customWidth="1"/>
    <col min="14984" max="14995" width="11.7109375" style="5" customWidth="1"/>
    <col min="14996" max="14996" width="12.5703125" style="5" customWidth="1"/>
    <col min="14997" max="14997" width="11.7109375" style="5" customWidth="1"/>
    <col min="14998" max="14998" width="13" style="5" customWidth="1"/>
    <col min="14999" max="15004" width="11.7109375" style="5" customWidth="1"/>
    <col min="15005" max="15005" width="13.7109375" style="5" customWidth="1"/>
    <col min="15006" max="15006" width="13.140625" style="5" customWidth="1"/>
    <col min="15007" max="15010" width="13" style="5" customWidth="1"/>
    <col min="15011" max="15017" width="11.7109375" style="5" customWidth="1"/>
    <col min="15018" max="15018" width="10.85546875" style="5" customWidth="1"/>
    <col min="15019" max="15019" width="11.7109375" style="5" customWidth="1"/>
    <col min="15020" max="15022" width="22.7109375" style="5" customWidth="1"/>
    <col min="15023" max="15025" width="20.7109375" style="5" customWidth="1"/>
    <col min="15026" max="15213" width="8.85546875" style="5"/>
    <col min="15214" max="15214" width="6.140625" style="5" customWidth="1"/>
    <col min="15215" max="15215" width="20.28515625" style="5" customWidth="1"/>
    <col min="15216" max="15216" width="12.42578125" style="5" customWidth="1"/>
    <col min="15217" max="15217" width="13" style="5" customWidth="1"/>
    <col min="15218" max="15218" width="12.5703125" style="5" customWidth="1"/>
    <col min="15219" max="15232" width="11.7109375" style="5" customWidth="1"/>
    <col min="15233" max="15233" width="12.28515625" style="5" customWidth="1"/>
    <col min="15234" max="15234" width="11.7109375" style="5" customWidth="1"/>
    <col min="15235" max="15235" width="12.85546875" style="5" customWidth="1"/>
    <col min="15236" max="15236" width="11.7109375" style="5" customWidth="1"/>
    <col min="15237" max="15237" width="12.7109375" style="5" customWidth="1"/>
    <col min="15238" max="15238" width="11.7109375" style="5" customWidth="1"/>
    <col min="15239" max="15239" width="13" style="5" customWidth="1"/>
    <col min="15240" max="15251" width="11.7109375" style="5" customWidth="1"/>
    <col min="15252" max="15252" width="12.5703125" style="5" customWidth="1"/>
    <col min="15253" max="15253" width="11.7109375" style="5" customWidth="1"/>
    <col min="15254" max="15254" width="13" style="5" customWidth="1"/>
    <col min="15255" max="15260" width="11.7109375" style="5" customWidth="1"/>
    <col min="15261" max="15261" width="13.7109375" style="5" customWidth="1"/>
    <col min="15262" max="15262" width="13.140625" style="5" customWidth="1"/>
    <col min="15263" max="15266" width="13" style="5" customWidth="1"/>
    <col min="15267" max="15273" width="11.7109375" style="5" customWidth="1"/>
    <col min="15274" max="15274" width="10.85546875" style="5" customWidth="1"/>
    <col min="15275" max="15275" width="11.7109375" style="5" customWidth="1"/>
    <col min="15276" max="15278" width="22.7109375" style="5" customWidth="1"/>
    <col min="15279" max="15281" width="20.7109375" style="5" customWidth="1"/>
    <col min="15282" max="15469" width="8.85546875" style="5"/>
    <col min="15470" max="15470" width="6.140625" style="5" customWidth="1"/>
    <col min="15471" max="15471" width="20.28515625" style="5" customWidth="1"/>
    <col min="15472" max="15472" width="12.42578125" style="5" customWidth="1"/>
    <col min="15473" max="15473" width="13" style="5" customWidth="1"/>
    <col min="15474" max="15474" width="12.5703125" style="5" customWidth="1"/>
    <col min="15475" max="15488" width="11.7109375" style="5" customWidth="1"/>
    <col min="15489" max="15489" width="12.28515625" style="5" customWidth="1"/>
    <col min="15490" max="15490" width="11.7109375" style="5" customWidth="1"/>
    <col min="15491" max="15491" width="12.85546875" style="5" customWidth="1"/>
    <col min="15492" max="15492" width="11.7109375" style="5" customWidth="1"/>
    <col min="15493" max="15493" width="12.7109375" style="5" customWidth="1"/>
    <col min="15494" max="15494" width="11.7109375" style="5" customWidth="1"/>
    <col min="15495" max="15495" width="13" style="5" customWidth="1"/>
    <col min="15496" max="15507" width="11.7109375" style="5" customWidth="1"/>
    <col min="15508" max="15508" width="12.5703125" style="5" customWidth="1"/>
    <col min="15509" max="15509" width="11.7109375" style="5" customWidth="1"/>
    <col min="15510" max="15510" width="13" style="5" customWidth="1"/>
    <col min="15511" max="15516" width="11.7109375" style="5" customWidth="1"/>
    <col min="15517" max="15517" width="13.7109375" style="5" customWidth="1"/>
    <col min="15518" max="15518" width="13.140625" style="5" customWidth="1"/>
    <col min="15519" max="15522" width="13" style="5" customWidth="1"/>
    <col min="15523" max="15529" width="11.7109375" style="5" customWidth="1"/>
    <col min="15530" max="15530" width="10.85546875" style="5" customWidth="1"/>
    <col min="15531" max="15531" width="11.7109375" style="5" customWidth="1"/>
    <col min="15532" max="15534" width="22.7109375" style="5" customWidth="1"/>
    <col min="15535" max="15537" width="20.7109375" style="5" customWidth="1"/>
    <col min="15538" max="15725" width="8.85546875" style="5"/>
    <col min="15726" max="15726" width="6.140625" style="5" customWidth="1"/>
    <col min="15727" max="15727" width="20.28515625" style="5" customWidth="1"/>
    <col min="15728" max="15728" width="12.42578125" style="5" customWidth="1"/>
    <col min="15729" max="15729" width="13" style="5" customWidth="1"/>
    <col min="15730" max="15730" width="12.5703125" style="5" customWidth="1"/>
    <col min="15731" max="15744" width="11.7109375" style="5" customWidth="1"/>
    <col min="15745" max="15745" width="12.28515625" style="5" customWidth="1"/>
    <col min="15746" max="15746" width="11.7109375" style="5" customWidth="1"/>
    <col min="15747" max="15747" width="12.85546875" style="5" customWidth="1"/>
    <col min="15748" max="15748" width="11.7109375" style="5" customWidth="1"/>
    <col min="15749" max="15749" width="12.7109375" style="5" customWidth="1"/>
    <col min="15750" max="15750" width="11.7109375" style="5" customWidth="1"/>
    <col min="15751" max="15751" width="13" style="5" customWidth="1"/>
    <col min="15752" max="15763" width="11.7109375" style="5" customWidth="1"/>
    <col min="15764" max="15764" width="12.5703125" style="5" customWidth="1"/>
    <col min="15765" max="15765" width="11.7109375" style="5" customWidth="1"/>
    <col min="15766" max="15766" width="13" style="5" customWidth="1"/>
    <col min="15767" max="15772" width="11.7109375" style="5" customWidth="1"/>
    <col min="15773" max="15773" width="13.7109375" style="5" customWidth="1"/>
    <col min="15774" max="15774" width="13.140625" style="5" customWidth="1"/>
    <col min="15775" max="15778" width="13" style="5" customWidth="1"/>
    <col min="15779" max="15785" width="11.7109375" style="5" customWidth="1"/>
    <col min="15786" max="15786" width="10.85546875" style="5" customWidth="1"/>
    <col min="15787" max="15787" width="11.7109375" style="5" customWidth="1"/>
    <col min="15788" max="15790" width="22.7109375" style="5" customWidth="1"/>
    <col min="15791" max="15793" width="20.7109375" style="5" customWidth="1"/>
    <col min="15794" max="15981" width="8.85546875" style="5"/>
    <col min="15982" max="15982" width="6.140625" style="5" customWidth="1"/>
    <col min="15983" max="15983" width="20.28515625" style="5" customWidth="1"/>
    <col min="15984" max="15984" width="12.42578125" style="5" customWidth="1"/>
    <col min="15985" max="15985" width="13" style="5" customWidth="1"/>
    <col min="15986" max="15986" width="12.5703125" style="5" customWidth="1"/>
    <col min="15987" max="16000" width="11.7109375" style="5" customWidth="1"/>
    <col min="16001" max="16001" width="12.28515625" style="5" customWidth="1"/>
    <col min="16002" max="16002" width="11.7109375" style="5" customWidth="1"/>
    <col min="16003" max="16003" width="12.85546875" style="5" customWidth="1"/>
    <col min="16004" max="16004" width="11.7109375" style="5" customWidth="1"/>
    <col min="16005" max="16005" width="12.7109375" style="5" customWidth="1"/>
    <col min="16006" max="16006" width="11.7109375" style="5" customWidth="1"/>
    <col min="16007" max="16007" width="13" style="5" customWidth="1"/>
    <col min="16008" max="16019" width="11.7109375" style="5" customWidth="1"/>
    <col min="16020" max="16020" width="12.5703125" style="5" customWidth="1"/>
    <col min="16021" max="16021" width="11.7109375" style="5" customWidth="1"/>
    <col min="16022" max="16022" width="13" style="5" customWidth="1"/>
    <col min="16023" max="16028" width="11.7109375" style="5" customWidth="1"/>
    <col min="16029" max="16029" width="13.7109375" style="5" customWidth="1"/>
    <col min="16030" max="16030" width="13.140625" style="5" customWidth="1"/>
    <col min="16031" max="16034" width="13" style="5" customWidth="1"/>
    <col min="16035" max="16041" width="11.7109375" style="5" customWidth="1"/>
    <col min="16042" max="16042" width="10.85546875" style="5" customWidth="1"/>
    <col min="16043" max="16043" width="11.7109375" style="5" customWidth="1"/>
    <col min="16044" max="16046" width="22.7109375" style="5" customWidth="1"/>
    <col min="16047" max="16049" width="20.7109375" style="5" customWidth="1"/>
    <col min="16050" max="16384" width="8.85546875" style="5"/>
  </cols>
  <sheetData>
    <row r="1" spans="1:62" s="31" customFormat="1" ht="24.75" customHeight="1">
      <c r="A1" s="29"/>
      <c r="B1" s="30"/>
      <c r="C1" s="23" t="s">
        <v>139</v>
      </c>
      <c r="D1" s="23"/>
      <c r="E1" s="23"/>
      <c r="F1" s="23"/>
      <c r="G1" s="23"/>
      <c r="H1" s="23"/>
      <c r="I1" s="23" t="str">
        <f>C1</f>
        <v>Table D3: GROSS ENROLMENT RATIO (GER)</v>
      </c>
      <c r="J1" s="23"/>
      <c r="K1" s="23"/>
      <c r="L1" s="23"/>
      <c r="M1" s="23"/>
      <c r="N1" s="23"/>
      <c r="O1" s="23" t="str">
        <f>I1</f>
        <v>Table D3: GROSS ENROLMENT RATIO (GER)</v>
      </c>
      <c r="P1" s="23"/>
      <c r="Q1" s="23"/>
      <c r="R1" s="23"/>
      <c r="S1" s="23"/>
      <c r="T1" s="23"/>
      <c r="U1" s="23" t="str">
        <f>O1</f>
        <v>Table D3: GROSS ENROLMENT RATIO (GER)</v>
      </c>
      <c r="V1" s="23"/>
      <c r="W1" s="23"/>
      <c r="X1" s="23"/>
      <c r="Y1" s="23"/>
      <c r="Z1" s="23"/>
    </row>
    <row r="2" spans="1:62" s="137" customFormat="1" ht="15.75" customHeight="1">
      <c r="C2" s="139" t="s">
        <v>80</v>
      </c>
      <c r="I2" s="139" t="str">
        <f>C2</f>
        <v>Scheduled Tribe</v>
      </c>
      <c r="O2" s="139" t="str">
        <f>I2</f>
        <v>Scheduled Tribe</v>
      </c>
      <c r="U2" s="139" t="str">
        <f>O2</f>
        <v>Scheduled Tribe</v>
      </c>
      <c r="AA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</row>
    <row r="3" spans="1:62" s="33" customFormat="1" ht="32.25" customHeight="1">
      <c r="A3" s="283" t="s">
        <v>67</v>
      </c>
      <c r="B3" s="283" t="s">
        <v>65</v>
      </c>
      <c r="C3" s="283" t="s">
        <v>89</v>
      </c>
      <c r="D3" s="285"/>
      <c r="E3" s="285"/>
      <c r="F3" s="283" t="s">
        <v>90</v>
      </c>
      <c r="G3" s="285"/>
      <c r="H3" s="285"/>
      <c r="I3" s="283" t="s">
        <v>91</v>
      </c>
      <c r="J3" s="285"/>
      <c r="K3" s="285"/>
      <c r="L3" s="308" t="s">
        <v>92</v>
      </c>
      <c r="M3" s="309"/>
      <c r="N3" s="310"/>
      <c r="O3" s="308" t="s">
        <v>93</v>
      </c>
      <c r="P3" s="309"/>
      <c r="Q3" s="310"/>
      <c r="R3" s="308" t="s">
        <v>94</v>
      </c>
      <c r="S3" s="309"/>
      <c r="T3" s="310"/>
      <c r="U3" s="308" t="s">
        <v>95</v>
      </c>
      <c r="V3" s="311"/>
      <c r="W3" s="312"/>
      <c r="X3" s="308" t="s">
        <v>96</v>
      </c>
      <c r="Y3" s="309"/>
      <c r="Z3" s="310"/>
    </row>
    <row r="4" spans="1:62" s="33" customFormat="1" ht="20.25" customHeight="1">
      <c r="A4" s="283"/>
      <c r="B4" s="283"/>
      <c r="C4" s="46" t="s">
        <v>13</v>
      </c>
      <c r="D4" s="46" t="s">
        <v>14</v>
      </c>
      <c r="E4" s="46" t="s">
        <v>15</v>
      </c>
      <c r="F4" s="46" t="s">
        <v>13</v>
      </c>
      <c r="G4" s="46" t="s">
        <v>14</v>
      </c>
      <c r="H4" s="46" t="s">
        <v>15</v>
      </c>
      <c r="I4" s="46" t="s">
        <v>13</v>
      </c>
      <c r="J4" s="46" t="s">
        <v>14</v>
      </c>
      <c r="K4" s="46" t="s">
        <v>15</v>
      </c>
      <c r="L4" s="46" t="s">
        <v>13</v>
      </c>
      <c r="M4" s="46" t="s">
        <v>14</v>
      </c>
      <c r="N4" s="46" t="s">
        <v>15</v>
      </c>
      <c r="O4" s="46" t="s">
        <v>13</v>
      </c>
      <c r="P4" s="46" t="s">
        <v>14</v>
      </c>
      <c r="Q4" s="46" t="s">
        <v>15</v>
      </c>
      <c r="R4" s="46" t="s">
        <v>13</v>
      </c>
      <c r="S4" s="46" t="s">
        <v>14</v>
      </c>
      <c r="T4" s="46" t="s">
        <v>15</v>
      </c>
      <c r="U4" s="46" t="s">
        <v>13</v>
      </c>
      <c r="V4" s="46" t="s">
        <v>14</v>
      </c>
      <c r="W4" s="46" t="s">
        <v>15</v>
      </c>
      <c r="X4" s="46" t="s">
        <v>13</v>
      </c>
      <c r="Y4" s="46" t="s">
        <v>14</v>
      </c>
      <c r="Z4" s="46" t="s">
        <v>15</v>
      </c>
    </row>
    <row r="5" spans="1:62" s="34" customFormat="1" ht="13.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</row>
    <row r="6" spans="1:62" s="35" customFormat="1" ht="19.5" customHeight="1">
      <c r="A6" s="25">
        <v>1</v>
      </c>
      <c r="B6" s="26" t="s">
        <v>16</v>
      </c>
      <c r="C6" s="45">
        <f>EnrlST!U6/'ST-Population'!C6%</f>
        <v>113.04693422645651</v>
      </c>
      <c r="D6" s="45">
        <f>EnrlST!V6/'ST-Population'!D6%</f>
        <v>113.99057114431471</v>
      </c>
      <c r="E6" s="45">
        <f>EnrlST!W6/'ST-Population'!E6%</f>
        <v>113.50301007157233</v>
      </c>
      <c r="F6" s="45">
        <f>EnrlST!AG6/'ST-Population'!F6%</f>
        <v>73.107190932966844</v>
      </c>
      <c r="G6" s="45">
        <f>EnrlST!AH6/'ST-Population'!G6%</f>
        <v>70.907284901778866</v>
      </c>
      <c r="H6" s="45">
        <f>EnrlST!AI6/'ST-Population'!H6%</f>
        <v>72.045083862800951</v>
      </c>
      <c r="I6" s="45">
        <f>EnrlST!AJ6/('ST-Population'!C6+'ST-Population'!F6)%</f>
        <v>98.053987964196494</v>
      </c>
      <c r="J6" s="45">
        <f>EnrlST!AK6/('ST-Population'!D6+'ST-Population'!G6)%</f>
        <v>97.838624613668813</v>
      </c>
      <c r="K6" s="45">
        <f>EnrlST!AL6/('ST-Population'!E6+'ST-Population'!H6)%</f>
        <v>97.949941232501033</v>
      </c>
      <c r="L6" s="45">
        <f>EnrlST!AS6/'ST-Population'!I6%</f>
        <v>56.04426022399818</v>
      </c>
      <c r="M6" s="45">
        <f>EnrlST!AT6/'ST-Population'!J6%</f>
        <v>54.198063688323806</v>
      </c>
      <c r="N6" s="45">
        <f>EnrlST!AU6/'ST-Population'!K6%</f>
        <v>55.163290523917489</v>
      </c>
      <c r="O6" s="45">
        <f>EnrlST!AV6/('ST-Population'!C6+'ST-Population'!F6+'ST-Population'!I6)%</f>
        <v>89.68059280888194</v>
      </c>
      <c r="P6" s="45">
        <f>EnrlST!AW6/('ST-Population'!D6+'ST-Population'!G6+'ST-Population'!J6)%</f>
        <v>89.30475509800641</v>
      </c>
      <c r="Q6" s="45">
        <f>EnrlST!AX6/('ST-Population'!E6+'ST-Population'!H6+'ST-Population'!K6)%</f>
        <v>89.499458402529314</v>
      </c>
      <c r="R6" s="45">
        <f>EnrlST!BE6/'ST-Population'!L6%</f>
        <v>48.241097528567629</v>
      </c>
      <c r="S6" s="45">
        <f>EnrlST!BF6/'ST-Population'!M6%</f>
        <v>39.779418816533997</v>
      </c>
      <c r="T6" s="45">
        <f>EnrlST!BG6/'ST-Population'!N6%</f>
        <v>44.314287494547948</v>
      </c>
      <c r="U6" s="45">
        <f>(EnrlST!AS6+EnrlST!BE6)/('ST-Population'!L6+'ST-Population'!I6)%</f>
        <v>52.448432895794269</v>
      </c>
      <c r="V6" s="45">
        <f>(EnrlST!AT6+EnrlST!BF6)/('ST-Population'!M6+'ST-Population'!J6)%</f>
        <v>47.74182466235802</v>
      </c>
      <c r="W6" s="45">
        <f>(EnrlST!AU6+EnrlST!BG6)/('ST-Population'!N6+'ST-Population'!K6)%</f>
        <v>50.230586330753276</v>
      </c>
      <c r="X6" s="45">
        <f>EnrlST!BH6/('ST-Population'!C6+'ST-Population'!F6+'ST-Population'!I6+'ST-Population'!L6)%</f>
        <v>83.648862306717859</v>
      </c>
      <c r="Y6" s="45">
        <f>EnrlST!BI6/('ST-Population'!D6+'ST-Population'!G6+'ST-Population'!J6+'ST-Population'!M6)%</f>
        <v>82.526775870215786</v>
      </c>
      <c r="Z6" s="45">
        <f>EnrlST!BJ6/('ST-Population'!E6+'ST-Population'!H6+'ST-Population'!K6+'ST-Population'!N6)%</f>
        <v>83.110910866566655</v>
      </c>
    </row>
    <row r="7" spans="1:62" s="35" customFormat="1" ht="19.5" customHeight="1">
      <c r="A7" s="25">
        <v>2</v>
      </c>
      <c r="B7" s="26" t="s">
        <v>17</v>
      </c>
      <c r="C7" s="45">
        <f>EnrlST!U7/'ST-Population'!C7%</f>
        <v>141.82906695057784</v>
      </c>
      <c r="D7" s="45">
        <f>EnrlST!V7/'ST-Population'!D7%</f>
        <v>138.52208201892745</v>
      </c>
      <c r="E7" s="45">
        <f>EnrlST!W7/'ST-Population'!E7%</f>
        <v>140.19374614886632</v>
      </c>
      <c r="F7" s="45">
        <f>EnrlST!AG7/'ST-Population'!F7%</f>
        <v>86.233463035019454</v>
      </c>
      <c r="G7" s="45">
        <f>EnrlST!AH7/'ST-Population'!G7%</f>
        <v>82.661713846547968</v>
      </c>
      <c r="H7" s="45">
        <f>EnrlST!AI7/'ST-Population'!H7%</f>
        <v>84.436424566604373</v>
      </c>
      <c r="I7" s="45">
        <f>EnrlST!AJ7/('ST-Population'!C7+'ST-Population'!F7)%</f>
        <v>121.09347033156281</v>
      </c>
      <c r="J7" s="45">
        <f>EnrlST!AK7/('ST-Population'!D7+'ST-Population'!G7)%</f>
        <v>117.2353199589984</v>
      </c>
      <c r="K7" s="45">
        <f>EnrlST!AL7/('ST-Population'!E7+'ST-Population'!H7)%</f>
        <v>119.17305655169733</v>
      </c>
      <c r="L7" s="45">
        <f>EnrlST!AS7/'ST-Population'!I7%</f>
        <v>57.039862674041586</v>
      </c>
      <c r="M7" s="45">
        <f>EnrlST!AT7/'ST-Population'!J7%</f>
        <v>52.700521713020301</v>
      </c>
      <c r="N7" s="45">
        <f>EnrlST!AU7/'ST-Population'!K7%</f>
        <v>54.852624011502513</v>
      </c>
      <c r="O7" s="45">
        <f>EnrlST!AV7/('ST-Population'!C7+'ST-Population'!F7+'ST-Population'!I7)%</f>
        <v>108.13434794017319</v>
      </c>
      <c r="P7" s="45">
        <f>EnrlST!AW7/('ST-Population'!D7+'ST-Population'!G7+'ST-Population'!J7)%</f>
        <v>103.91468724337223</v>
      </c>
      <c r="Q7" s="45">
        <f>EnrlST!AX7/('ST-Population'!E7+'ST-Population'!H7+'ST-Population'!K7)%</f>
        <v>106.0285634752486</v>
      </c>
      <c r="R7" s="45">
        <f>EnrlST!BE7/'ST-Population'!L7%</f>
        <v>49.899799599198396</v>
      </c>
      <c r="S7" s="45">
        <f>EnrlST!BF7/'ST-Population'!M7%</f>
        <v>43.627012522361362</v>
      </c>
      <c r="T7" s="45">
        <f>EnrlST!BG7/'ST-Population'!N7%</f>
        <v>46.734813611336762</v>
      </c>
      <c r="U7" s="45">
        <f>(EnrlST!AS7+EnrlST!BE7)/('ST-Population'!L7+'ST-Population'!I7)%</f>
        <v>53.785472587241287</v>
      </c>
      <c r="V7" s="45">
        <f>(EnrlST!AT7+EnrlST!BF7)/('ST-Population'!M7+'ST-Population'!J7)%</f>
        <v>48.560292227006514</v>
      </c>
      <c r="W7" s="45">
        <f>(EnrlST!AU7+EnrlST!BG7)/('ST-Population'!N7+'ST-Population'!K7)%</f>
        <v>51.150513511844728</v>
      </c>
      <c r="X7" s="45">
        <f>EnrlST!BH7/('ST-Population'!C7+'ST-Population'!F7+'ST-Population'!I7+'ST-Population'!L7)%</f>
        <v>99.696429749884516</v>
      </c>
      <c r="Y7" s="45">
        <f>EnrlST!BI7/('ST-Population'!D7+'ST-Population'!G7+'ST-Population'!J7+'ST-Population'!M7)%</f>
        <v>95.013140691239968</v>
      </c>
      <c r="Z7" s="45">
        <f>EnrlST!BJ7/('ST-Population'!E7+'ST-Population'!H7+'ST-Population'!K7+'ST-Population'!N7)%</f>
        <v>97.355496290037237</v>
      </c>
    </row>
    <row r="8" spans="1:62" s="35" customFormat="1" ht="19.5" customHeight="1">
      <c r="A8" s="25">
        <v>3</v>
      </c>
      <c r="B8" s="26" t="s">
        <v>48</v>
      </c>
      <c r="C8" s="45">
        <f>EnrlST!U8/'ST-Population'!C8%</f>
        <v>93.551473660094601</v>
      </c>
      <c r="D8" s="45">
        <f>EnrlST!V8/'ST-Population'!D8%</f>
        <v>97.413821339834257</v>
      </c>
      <c r="E8" s="45">
        <f>EnrlST!W8/'ST-Population'!E8%</f>
        <v>95.44327354568415</v>
      </c>
      <c r="F8" s="45">
        <f>EnrlST!AG8/'ST-Population'!F8%</f>
        <v>79.938213887662982</v>
      </c>
      <c r="G8" s="45">
        <f>EnrlST!AH8/'ST-Population'!G8%</f>
        <v>80.126339258066508</v>
      </c>
      <c r="H8" s="45">
        <f>EnrlST!AI8/'ST-Population'!H8%</f>
        <v>80.030662360240882</v>
      </c>
      <c r="I8" s="45">
        <f>EnrlST!AJ8/('ST-Population'!C8+'ST-Population'!F8)%</f>
        <v>88.443597458293098</v>
      </c>
      <c r="J8" s="45">
        <f>EnrlST!AK8/('ST-Population'!D8+'ST-Population'!G8)%</f>
        <v>90.901137102677552</v>
      </c>
      <c r="K8" s="45">
        <f>EnrlST!AL8/('ST-Population'!E8+'ST-Population'!H8)%</f>
        <v>89.648805394852573</v>
      </c>
      <c r="L8" s="45">
        <f>EnrlST!AS8/'ST-Population'!I8%</f>
        <v>75.182426597582037</v>
      </c>
      <c r="M8" s="45">
        <f>EnrlST!AT8/'ST-Population'!J8%</f>
        <v>78.552492928844771</v>
      </c>
      <c r="N8" s="45">
        <f>EnrlST!AU8/'ST-Population'!K8%</f>
        <v>76.84455264093657</v>
      </c>
      <c r="O8" s="45">
        <f>EnrlST!AV8/('ST-Population'!C8+'ST-Population'!F8+'ST-Population'!I8)%</f>
        <v>85.707094106955111</v>
      </c>
      <c r="P8" s="45">
        <f>EnrlST!AW8/('ST-Population'!D8+'ST-Population'!G8+'ST-Population'!J8)%</f>
        <v>88.330285144234779</v>
      </c>
      <c r="Q8" s="45">
        <f>EnrlST!AX8/('ST-Population'!E8+'ST-Population'!H8+'ST-Population'!K8)%</f>
        <v>86.995056577246658</v>
      </c>
      <c r="R8" s="45">
        <f>EnrlST!BE8/'ST-Population'!L8%</f>
        <v>13.037044344694914</v>
      </c>
      <c r="S8" s="45">
        <f>EnrlST!BF8/'ST-Population'!M8%</f>
        <v>13.257090576395242</v>
      </c>
      <c r="T8" s="45">
        <f>EnrlST!BG8/'ST-Population'!N8%</f>
        <v>13.143868732630297</v>
      </c>
      <c r="U8" s="45">
        <f>(EnrlST!AS8+EnrlST!BE8)/('ST-Population'!L8+'ST-Population'!I8)%</f>
        <v>46.175143324200498</v>
      </c>
      <c r="V8" s="45">
        <f>(EnrlST!AT8+EnrlST!BF8)/('ST-Population'!M8+'ST-Population'!J8)%</f>
        <v>48.577685776857763</v>
      </c>
      <c r="W8" s="45">
        <f>(EnrlST!AU8+EnrlST!BG8)/('ST-Population'!N8+'ST-Population'!K8)%</f>
        <v>47.35147489548968</v>
      </c>
      <c r="X8" s="45">
        <f>EnrlST!BH8/('ST-Population'!C8+'ST-Population'!F8+'ST-Population'!I8+'ST-Population'!L8)%</f>
        <v>74.588889643566006</v>
      </c>
      <c r="Y8" s="45">
        <f>EnrlST!BI8/('ST-Population'!D8+'ST-Population'!G8+'ST-Population'!J8+'ST-Population'!M8)%</f>
        <v>77.05797619094345</v>
      </c>
      <c r="Z8" s="45">
        <f>EnrlST!BJ8/('ST-Population'!E8+'ST-Population'!H8+'ST-Population'!K8+'ST-Population'!N8)%</f>
        <v>75.799119261395447</v>
      </c>
    </row>
    <row r="9" spans="1:62" s="35" customFormat="1" ht="19.5" customHeight="1">
      <c r="A9" s="25">
        <v>4</v>
      </c>
      <c r="B9" s="26" t="s">
        <v>18</v>
      </c>
      <c r="C9" s="45">
        <f>EnrlST!U9/'ST-Population'!C9%</f>
        <v>124.68472654616421</v>
      </c>
      <c r="D9" s="45">
        <f>EnrlST!V9/'ST-Population'!D9%</f>
        <v>112.15940722154703</v>
      </c>
      <c r="E9" s="45">
        <f>EnrlST!W9/'ST-Population'!E9%</f>
        <v>118.58867640113914</v>
      </c>
      <c r="F9" s="45">
        <f>EnrlST!AG9/'ST-Population'!F9%</f>
        <v>68.80900508351489</v>
      </c>
      <c r="G9" s="45">
        <f>EnrlST!AH9/'ST-Population'!G9%</f>
        <v>61.828155818540431</v>
      </c>
      <c r="H9" s="45">
        <f>EnrlST!AI9/'ST-Population'!H9%</f>
        <v>65.44486029426325</v>
      </c>
      <c r="I9" s="45">
        <f>EnrlST!AJ9/('ST-Population'!C9+'ST-Population'!F9)%</f>
        <v>106.40338646041106</v>
      </c>
      <c r="J9" s="45">
        <f>EnrlST!AK9/('ST-Population'!D9+'ST-Population'!G9)%</f>
        <v>95.903782349037826</v>
      </c>
      <c r="K9" s="45">
        <f>EnrlST!AL9/('ST-Population'!E9+'ST-Population'!H9)%</f>
        <v>101.30959241028745</v>
      </c>
      <c r="L9" s="45">
        <f>EnrlST!AS9/'ST-Population'!I9%</f>
        <v>39.991307587234573</v>
      </c>
      <c r="M9" s="45">
        <f>EnrlST!AT9/'ST-Population'!J9%</f>
        <v>34.12164554273172</v>
      </c>
      <c r="N9" s="45">
        <f>EnrlST!AU9/'ST-Population'!K9%</f>
        <v>37.248999305302853</v>
      </c>
      <c r="O9" s="45">
        <f>EnrlST!AV9/('ST-Population'!C9+'ST-Population'!F9+'ST-Population'!I9)%</f>
        <v>95.269668944484053</v>
      </c>
      <c r="P9" s="45">
        <f>EnrlST!AW9/('ST-Population'!D9+'ST-Population'!G9+'ST-Population'!J9)%</f>
        <v>86.151688218792259</v>
      </c>
      <c r="Q9" s="45">
        <f>EnrlST!AX9/('ST-Population'!E9+'ST-Population'!H9+'ST-Population'!K9)%</f>
        <v>90.872809487750914</v>
      </c>
      <c r="R9" s="45">
        <f>EnrlST!BE9/'ST-Population'!L9%</f>
        <v>33.076381118156576</v>
      </c>
      <c r="S9" s="45">
        <f>EnrlST!BF9/'ST-Population'!M9%</f>
        <v>25.758802104411167</v>
      </c>
      <c r="T9" s="45">
        <f>EnrlST!BG9/'ST-Population'!N9%</f>
        <v>29.781078433605938</v>
      </c>
      <c r="U9" s="45">
        <f>(EnrlST!AS9+EnrlST!BE9)/('ST-Population'!L9+'ST-Population'!I9)%</f>
        <v>37.029871674269181</v>
      </c>
      <c r="V9" s="45">
        <f>(EnrlST!AT9+EnrlST!BF9)/('ST-Population'!M9+'ST-Population'!J9)%</f>
        <v>30.678552088974051</v>
      </c>
      <c r="W9" s="45">
        <f>(EnrlST!AU9+EnrlST!BG9)/('ST-Population'!N9+'ST-Population'!K9)%</f>
        <v>34.107613434909688</v>
      </c>
      <c r="X9" s="45">
        <f>EnrlST!BH9/('ST-Population'!C9+'ST-Population'!F9+'ST-Population'!I9+'ST-Population'!L9)%</f>
        <v>88.330898128282911</v>
      </c>
      <c r="Y9" s="45">
        <f>EnrlST!BI9/('ST-Population'!D9+'ST-Population'!G9+'ST-Population'!J9+'ST-Population'!M9)%</f>
        <v>80.1438247934217</v>
      </c>
      <c r="Z9" s="45">
        <f>EnrlST!BJ9/('ST-Population'!E9+'ST-Population'!H9+'ST-Population'!K9+'ST-Population'!N9)%</f>
        <v>84.410558428477117</v>
      </c>
    </row>
    <row r="10" spans="1:62" s="35" customFormat="1" ht="19.5" customHeight="1">
      <c r="A10" s="25">
        <v>5</v>
      </c>
      <c r="B10" s="28" t="s">
        <v>19</v>
      </c>
      <c r="C10" s="45">
        <f>EnrlST!U10/'ST-Population'!C10%</f>
        <v>105.13552514691101</v>
      </c>
      <c r="D10" s="45">
        <f>EnrlST!V10/'ST-Population'!D10%</f>
        <v>101.37298007744687</v>
      </c>
      <c r="E10" s="45">
        <f>EnrlST!W10/'ST-Population'!E10%</f>
        <v>103.2788599568396</v>
      </c>
      <c r="F10" s="45">
        <f>EnrlST!AG10/'ST-Population'!F10%</f>
        <v>81.987210029480963</v>
      </c>
      <c r="G10" s="45">
        <f>EnrlST!AH10/'ST-Population'!G10%</f>
        <v>74.419569907751907</v>
      </c>
      <c r="H10" s="45">
        <f>EnrlST!AI10/'ST-Population'!H10%</f>
        <v>78.211979950716213</v>
      </c>
      <c r="I10" s="45">
        <f>EnrlST!AJ10/('ST-Population'!C10+'ST-Population'!F10)%</f>
        <v>96.823801440810499</v>
      </c>
      <c r="J10" s="45">
        <f>EnrlST!AK10/('ST-Population'!D10+'ST-Population'!G10)%</f>
        <v>91.560462298697232</v>
      </c>
      <c r="K10" s="45">
        <f>EnrlST!AL10/('ST-Population'!E10+'ST-Population'!H10)%</f>
        <v>94.216269439835983</v>
      </c>
      <c r="L10" s="45">
        <f>EnrlST!AS10/'ST-Population'!I10%</f>
        <v>65.707139025584809</v>
      </c>
      <c r="M10" s="45">
        <f>EnrlST!AT10/'ST-Population'!J10%</f>
        <v>63.578770790206299</v>
      </c>
      <c r="N10" s="45">
        <f>EnrlST!AU10/'ST-Population'!K10%</f>
        <v>64.653608781682848</v>
      </c>
      <c r="O10" s="45">
        <f>EnrlST!AV10/('ST-Population'!C10+'ST-Population'!F10+'ST-Population'!I10)%</f>
        <v>91.021074309175404</v>
      </c>
      <c r="P10" s="45">
        <f>EnrlST!AW10/('ST-Population'!D10+'ST-Population'!G10+'ST-Population'!J10)%</f>
        <v>86.349476790687476</v>
      </c>
      <c r="Q10" s="45">
        <f>EnrlST!AX10/('ST-Population'!E10+'ST-Population'!H10+'ST-Population'!K10)%</f>
        <v>88.707064765287015</v>
      </c>
      <c r="R10" s="45">
        <f>EnrlST!BE10/'ST-Population'!L10%</f>
        <v>37.434436486594429</v>
      </c>
      <c r="S10" s="45">
        <f>EnrlST!BF10/'ST-Population'!M10%</f>
        <v>30.985681428400497</v>
      </c>
      <c r="T10" s="45">
        <f>EnrlST!BG10/'ST-Population'!N10%</f>
        <v>34.207935610469953</v>
      </c>
      <c r="U10" s="45">
        <f>(EnrlST!AS10+EnrlST!BE10)/('ST-Population'!L10+'ST-Population'!I10)%</f>
        <v>52.505408026256902</v>
      </c>
      <c r="V10" s="45">
        <f>(EnrlST!AT10+EnrlST!BF10)/('ST-Population'!M10+'ST-Population'!J10)%</f>
        <v>48.186424396154983</v>
      </c>
      <c r="W10" s="45">
        <f>(EnrlST!AU10+EnrlST!BG10)/('ST-Population'!N10+'ST-Population'!K10)%</f>
        <v>50.356715592719503</v>
      </c>
      <c r="X10" s="45">
        <f>EnrlST!BH10/('ST-Population'!C10+'ST-Population'!F10+'ST-Population'!I10+'ST-Population'!L10)%</f>
        <v>83.496645587484835</v>
      </c>
      <c r="Y10" s="45">
        <f>EnrlST!BI10/('ST-Population'!D10+'ST-Population'!G10+'ST-Population'!J10+'ST-Population'!M10)%</f>
        <v>78.44106911574238</v>
      </c>
      <c r="Z10" s="45">
        <f>EnrlST!BJ10/('ST-Population'!E10+'ST-Population'!H10+'ST-Population'!K10+'ST-Population'!N10)%</f>
        <v>80.988862334001865</v>
      </c>
    </row>
    <row r="11" spans="1:62" s="35" customFormat="1" ht="19.5" customHeight="1">
      <c r="A11" s="25">
        <v>6</v>
      </c>
      <c r="B11" s="26" t="s">
        <v>20</v>
      </c>
      <c r="C11" s="45">
        <f>EnrlST!U11/'ST-Population'!C11%</f>
        <v>80.429228410832906</v>
      </c>
      <c r="D11" s="45">
        <f>EnrlST!V11/'ST-Population'!D11%</f>
        <v>79.365638766519822</v>
      </c>
      <c r="E11" s="45">
        <f>EnrlST!W11/'ST-Population'!E11%</f>
        <v>79.906461112073444</v>
      </c>
      <c r="F11" s="45">
        <f>EnrlST!AG11/'ST-Population'!F11%</f>
        <v>98.786279683377316</v>
      </c>
      <c r="G11" s="45">
        <f>EnrlST!AH11/'ST-Population'!G11%</f>
        <v>96.322489391796324</v>
      </c>
      <c r="H11" s="45">
        <f>EnrlST!AI11/'ST-Population'!H11%</f>
        <v>97.597269624573386</v>
      </c>
      <c r="I11" s="45">
        <f>EnrlST!AJ11/('ST-Population'!C11+'ST-Population'!F11)%</f>
        <v>87.630680053824662</v>
      </c>
      <c r="J11" s="45">
        <f>EnrlST!AK11/('ST-Population'!D11+'ST-Population'!G11)%</f>
        <v>85.874049945711192</v>
      </c>
      <c r="K11" s="45">
        <f>EnrlST!AL11/('ST-Population'!E11+'ST-Population'!H11)%</f>
        <v>86.773355942981297</v>
      </c>
      <c r="L11" s="45">
        <f>EnrlST!AS11/'ST-Population'!I11%</f>
        <v>87.434130522902308</v>
      </c>
      <c r="M11" s="45">
        <f>EnrlST!AT11/'ST-Population'!J11%</f>
        <v>94.053344993441186</v>
      </c>
      <c r="N11" s="45">
        <f>EnrlST!AU11/'ST-Population'!K11%</f>
        <v>90.618426588136302</v>
      </c>
      <c r="O11" s="45">
        <f>EnrlST!AV11/('ST-Population'!C11+'ST-Population'!F11+'ST-Population'!I11)%</f>
        <v>87.590699208443269</v>
      </c>
      <c r="P11" s="45">
        <f>EnrlST!AW11/('ST-Population'!D11+'ST-Population'!G11+'ST-Population'!J11)%</f>
        <v>87.501087240149602</v>
      </c>
      <c r="Q11" s="45">
        <f>EnrlST!AX11/('ST-Population'!E11+'ST-Population'!H11+'ST-Population'!K11)%</f>
        <v>87.547089947089944</v>
      </c>
      <c r="R11" s="45">
        <f>EnrlST!BE11/'ST-Population'!L11%</f>
        <v>51.239669421487605</v>
      </c>
      <c r="S11" s="45">
        <f>EnrlST!BF11/'ST-Population'!M11%</f>
        <v>56.410256410256409</v>
      </c>
      <c r="T11" s="45">
        <f>EnrlST!BG11/'ST-Population'!N11%</f>
        <v>53.826086956521742</v>
      </c>
      <c r="U11" s="45">
        <f>(EnrlST!AS11+EnrlST!BE11)/('ST-Population'!L11+'ST-Population'!I11)%</f>
        <v>69.9748216533781</v>
      </c>
      <c r="V11" s="45">
        <f>(EnrlST!AT11+EnrlST!BF11)/('ST-Population'!M11+'ST-Population'!J11)%</f>
        <v>75.174367916303396</v>
      </c>
      <c r="W11" s="45">
        <f>(EnrlST!AU11+EnrlST!BG11)/('ST-Population'!N11+'ST-Population'!K11)%</f>
        <v>72.525122942056868</v>
      </c>
      <c r="X11" s="45">
        <f>EnrlST!BH11/('ST-Population'!C11+'ST-Population'!F11+'ST-Population'!I11+'ST-Population'!L11)%</f>
        <v>81.79801760587786</v>
      </c>
      <c r="Y11" s="45">
        <f>EnrlST!BI11/('ST-Population'!D11+'ST-Population'!G11+'ST-Population'!J11+'ST-Population'!M11)%</f>
        <v>82.316277721408909</v>
      </c>
      <c r="Z11" s="45">
        <f>EnrlST!BJ11/('ST-Population'!E11+'ST-Population'!H11+'ST-Population'!K11+'ST-Population'!N11)%</f>
        <v>82.051372896368463</v>
      </c>
    </row>
    <row r="12" spans="1:62" s="35" customFormat="1" ht="19.5" customHeight="1">
      <c r="A12" s="25">
        <v>7</v>
      </c>
      <c r="B12" s="26" t="s">
        <v>21</v>
      </c>
      <c r="C12" s="45">
        <f>EnrlST!U12/'ST-Population'!C12%</f>
        <v>118.93636476059496</v>
      </c>
      <c r="D12" s="45">
        <f>EnrlST!V12/'ST-Population'!D12%</f>
        <v>116.14710309613058</v>
      </c>
      <c r="E12" s="45">
        <f>EnrlST!W12/'ST-Population'!E12%</f>
        <v>117.57584366449024</v>
      </c>
      <c r="F12" s="45">
        <f>EnrlST!AG12/'ST-Population'!F12%</f>
        <v>59.747305621543575</v>
      </c>
      <c r="G12" s="45">
        <f>EnrlST!AH12/'ST-Population'!G12%</f>
        <v>55.859325504004694</v>
      </c>
      <c r="H12" s="45">
        <f>EnrlST!AI12/'ST-Population'!H12%</f>
        <v>57.849365751388873</v>
      </c>
      <c r="I12" s="45">
        <f>EnrlST!AJ12/('ST-Population'!C12+'ST-Population'!F12)%</f>
        <v>96.992037955595066</v>
      </c>
      <c r="J12" s="45">
        <f>EnrlST!AK12/('ST-Population'!D12+'ST-Population'!G12)%</f>
        <v>93.773766787565606</v>
      </c>
      <c r="K12" s="45">
        <f>EnrlST!AL12/('ST-Population'!E12+'ST-Population'!H12)%</f>
        <v>95.421799208096303</v>
      </c>
      <c r="L12" s="45">
        <f>EnrlST!AS12/'ST-Population'!I12%</f>
        <v>52.689175819994418</v>
      </c>
      <c r="M12" s="45">
        <f>EnrlST!AT12/'ST-Population'!J12%</f>
        <v>46.781574295969378</v>
      </c>
      <c r="N12" s="45">
        <f>EnrlST!AU12/'ST-Population'!K12%</f>
        <v>49.833439481264236</v>
      </c>
      <c r="O12" s="45">
        <f>EnrlST!AV12/('ST-Population'!C12+'ST-Population'!F12+'ST-Population'!I12)%</f>
        <v>88.637785648273038</v>
      </c>
      <c r="P12" s="45">
        <f>EnrlST!AW12/('ST-Population'!D12+'ST-Population'!G12+'ST-Population'!J12)%</f>
        <v>85.041574689864802</v>
      </c>
      <c r="Q12" s="45">
        <f>EnrlST!AX12/('ST-Population'!E12+'ST-Population'!H12+'ST-Population'!K12)%</f>
        <v>86.886183908666439</v>
      </c>
      <c r="R12" s="45">
        <f>EnrlST!BE12/'ST-Population'!L12%</f>
        <v>35.004027409733489</v>
      </c>
      <c r="S12" s="45">
        <f>EnrlST!BF12/'ST-Population'!M12%</f>
        <v>30.817809452553355</v>
      </c>
      <c r="T12" s="45">
        <f>EnrlST!BG12/'ST-Population'!N12%</f>
        <v>32.99750790177486</v>
      </c>
      <c r="U12" s="45">
        <f>(EnrlST!AS12+EnrlST!BE12)/('ST-Population'!L12+'ST-Population'!I12)%</f>
        <v>44.465313722243785</v>
      </c>
      <c r="V12" s="45">
        <f>(EnrlST!AT12+EnrlST!BF12)/('ST-Population'!M12+'ST-Population'!J12)%</f>
        <v>39.423121887348316</v>
      </c>
      <c r="W12" s="45">
        <f>(EnrlST!AU12+EnrlST!BG12)/('ST-Population'!N12+'ST-Population'!K12)%</f>
        <v>42.037453752763575</v>
      </c>
      <c r="X12" s="45">
        <f>EnrlST!BH12/('ST-Population'!C12+'ST-Population'!F12+'ST-Population'!I12+'ST-Population'!L12)%</f>
        <v>81.084762202239062</v>
      </c>
      <c r="Y12" s="45">
        <f>EnrlST!BI12/('ST-Population'!D12+'ST-Population'!G12+'ST-Population'!J12+'ST-Population'!M12)%</f>
        <v>77.606899279731195</v>
      </c>
      <c r="Z12" s="45">
        <f>EnrlST!BJ12/('ST-Population'!E12+'ST-Population'!H12+'ST-Population'!K12+'ST-Population'!N12)%</f>
        <v>79.394552663989401</v>
      </c>
    </row>
    <row r="13" spans="1:62" s="35" customFormat="1" ht="19.5" customHeight="1">
      <c r="A13" s="25">
        <v>8</v>
      </c>
      <c r="B13" s="26" t="s">
        <v>22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62" s="35" customFormat="1" ht="19.5" customHeight="1">
      <c r="A14" s="25">
        <v>9</v>
      </c>
      <c r="B14" s="26" t="s">
        <v>23</v>
      </c>
      <c r="C14" s="45">
        <f>EnrlST!U14/'ST-Population'!C14%</f>
        <v>93.374858437146102</v>
      </c>
      <c r="D14" s="45">
        <f>EnrlST!V14/'ST-Population'!D14%</f>
        <v>96.4301827205053</v>
      </c>
      <c r="E14" s="45">
        <f>EnrlST!W14/'ST-Population'!E14%</f>
        <v>94.832875827547241</v>
      </c>
      <c r="F14" s="45">
        <f>EnrlST!AG14/'ST-Population'!F14%</f>
        <v>99.395344984676541</v>
      </c>
      <c r="G14" s="45">
        <f>EnrlST!AH14/'ST-Population'!G14%</f>
        <v>98.78200568990043</v>
      </c>
      <c r="H14" s="45">
        <f>EnrlST!AI14/'ST-Population'!H14%</f>
        <v>99.09952403413233</v>
      </c>
      <c r="I14" s="45">
        <f>EnrlST!AJ14/('ST-Population'!C14+'ST-Population'!F14)%</f>
        <v>95.682402615956065</v>
      </c>
      <c r="J14" s="45">
        <f>EnrlST!AK14/('ST-Population'!D14+'ST-Population'!G14)%</f>
        <v>97.342995169082116</v>
      </c>
      <c r="K14" s="45">
        <f>EnrlST!AL14/('ST-Population'!E14+'ST-Population'!H14)%</f>
        <v>96.478116370971748</v>
      </c>
      <c r="L14" s="45">
        <f>EnrlST!AS14/'ST-Population'!I14%</f>
        <v>107.81033832222361</v>
      </c>
      <c r="M14" s="45">
        <f>EnrlST!AT14/'ST-Population'!J14%</f>
        <v>101.57347204161248</v>
      </c>
      <c r="N14" s="45">
        <f>EnrlST!AU14/'ST-Population'!K14%</f>
        <v>104.74394220318395</v>
      </c>
      <c r="O14" s="45">
        <f>EnrlST!AV14/('ST-Population'!C14+'ST-Population'!F14+'ST-Population'!I14)%</f>
        <v>98.126742712294046</v>
      </c>
      <c r="P14" s="45">
        <f>EnrlST!AW14/('ST-Population'!D14+'ST-Population'!G14+'ST-Population'!J14)%</f>
        <v>98.230160894464149</v>
      </c>
      <c r="Q14" s="45">
        <f>EnrlST!AX14/('ST-Population'!E14+'ST-Population'!H14+'ST-Population'!K14)%</f>
        <v>98.176563321071981</v>
      </c>
      <c r="R14" s="45">
        <f>EnrlST!BE14/'ST-Population'!L14%</f>
        <v>79.858429858429858</v>
      </c>
      <c r="S14" s="45">
        <f>EnrlST!BF14/'ST-Population'!M14%</f>
        <v>73.102180194378775</v>
      </c>
      <c r="T14" s="45">
        <f>EnrlST!BG14/'ST-Population'!N14%</f>
        <v>76.5145605824233</v>
      </c>
      <c r="U14" s="45">
        <f>(EnrlST!AS14+EnrlST!BE14)/('ST-Population'!L14+'ST-Population'!I14)%</f>
        <v>93.995292920297686</v>
      </c>
      <c r="V14" s="45">
        <f>(EnrlST!AT14+EnrlST!BF14)/('ST-Population'!M14+'ST-Population'!J14)%</f>
        <v>87.408520648196557</v>
      </c>
      <c r="W14" s="45">
        <f>(EnrlST!AU14+EnrlST!BG14)/('ST-Population'!N14+'ST-Population'!K14)%</f>
        <v>90.746172441579375</v>
      </c>
      <c r="X14" s="45">
        <f>EnrlST!BH14/('ST-Population'!C14+'ST-Population'!F14+'ST-Population'!I14+'ST-Population'!L14)%</f>
        <v>95.120711562897085</v>
      </c>
      <c r="Y14" s="45">
        <f>EnrlST!BI14/('ST-Population'!D14+'ST-Population'!G14+'ST-Population'!J14+'ST-Population'!M14)%</f>
        <v>93.909764248938671</v>
      </c>
      <c r="Z14" s="45">
        <f>EnrlST!BJ14/('ST-Population'!E14+'ST-Population'!H14+'ST-Population'!K14+'ST-Population'!N14)%</f>
        <v>94.534665151250223</v>
      </c>
    </row>
    <row r="15" spans="1:62" s="35" customFormat="1" ht="19.5" customHeight="1">
      <c r="A15" s="25">
        <v>10</v>
      </c>
      <c r="B15" s="26" t="s">
        <v>24</v>
      </c>
      <c r="C15" s="45">
        <f>EnrlST!U15/'ST-Population'!C15%</f>
        <v>64.065219382614274</v>
      </c>
      <c r="D15" s="45">
        <f>EnrlST!V15/'ST-Population'!D15%</f>
        <v>58.595591903816242</v>
      </c>
      <c r="E15" s="45">
        <f>EnrlST!W15/'ST-Population'!E15%</f>
        <v>61.420306446348242</v>
      </c>
      <c r="F15" s="45">
        <f>EnrlST!AG15/'ST-Population'!F15%</f>
        <v>47.390083284911874</v>
      </c>
      <c r="G15" s="45">
        <f>EnrlST!AH15/'ST-Population'!G15%</f>
        <v>42.005091957911233</v>
      </c>
      <c r="H15" s="45">
        <f>EnrlST!AI15/'ST-Population'!H15%</f>
        <v>44.829542087485081</v>
      </c>
      <c r="I15" s="45">
        <f>EnrlST!AJ15/('ST-Population'!C15+'ST-Population'!F15)%</f>
        <v>58.028002758201559</v>
      </c>
      <c r="J15" s="45">
        <f>EnrlST!AK15/('ST-Population'!D15+'ST-Population'!G15)%</f>
        <v>52.71232669141601</v>
      </c>
      <c r="K15" s="45">
        <f>EnrlST!AL15/('ST-Population'!E15+'ST-Population'!H15)%</f>
        <v>55.472908586585092</v>
      </c>
      <c r="L15" s="45">
        <f>EnrlST!AS15/'ST-Population'!I15%</f>
        <v>27.928366607152515</v>
      </c>
      <c r="M15" s="45">
        <f>EnrlST!AT15/'ST-Population'!J15%</f>
        <v>20.113521926210748</v>
      </c>
      <c r="N15" s="45">
        <f>EnrlST!AU15/'ST-Population'!K15%</f>
        <v>24.256112425611242</v>
      </c>
      <c r="O15" s="45">
        <f>EnrlST!AV15/('ST-Population'!C15+'ST-Population'!F15+'ST-Population'!I15)%</f>
        <v>52.681025700171077</v>
      </c>
      <c r="P15" s="45">
        <f>EnrlST!AW15/('ST-Population'!D15+'ST-Population'!G15+'ST-Population'!J15)%</f>
        <v>47.124091715186992</v>
      </c>
      <c r="Q15" s="45">
        <f>EnrlST!AX15/('ST-Population'!E15+'ST-Population'!H15+'ST-Population'!K15)%</f>
        <v>50.020413326019607</v>
      </c>
      <c r="R15" s="45">
        <f>EnrlST!BE15/'ST-Population'!L15%</f>
        <v>21.836096132081749</v>
      </c>
      <c r="S15" s="45">
        <f>EnrlST!BF15/'ST-Population'!M15%</f>
        <v>15.759508084718744</v>
      </c>
      <c r="T15" s="45">
        <f>EnrlST!BG15/'ST-Population'!N15%</f>
        <v>18.996949705611122</v>
      </c>
      <c r="U15" s="45">
        <f>(EnrlST!AS15+EnrlST!BE15)/('ST-Population'!L15+'ST-Population'!I15)%</f>
        <v>25.19699140401146</v>
      </c>
      <c r="V15" s="45">
        <f>(EnrlST!AT15+EnrlST!BF15)/('ST-Population'!M15+'ST-Population'!J15)%</f>
        <v>18.173052524739916</v>
      </c>
      <c r="W15" s="45">
        <f>(EnrlST!AU15+EnrlST!BG15)/('ST-Population'!N15+'ST-Population'!K15)%</f>
        <v>21.904807212007327</v>
      </c>
      <c r="X15" s="45">
        <f>EnrlST!BH15/('ST-Population'!C15+'ST-Population'!F15+'ST-Population'!I15+'ST-Population'!L15)%</f>
        <v>48.789757027555908</v>
      </c>
      <c r="Y15" s="45">
        <f>EnrlST!BI15/('ST-Population'!D15+'ST-Population'!G15+'ST-Population'!J15+'ST-Population'!M15)%</f>
        <v>43.324919656280599</v>
      </c>
      <c r="Z15" s="45">
        <f>EnrlST!BJ15/('ST-Population'!E15+'ST-Population'!H15+'ST-Population'!K15+'ST-Population'!N15)%</f>
        <v>46.181060800593457</v>
      </c>
    </row>
    <row r="16" spans="1:62" s="35" customFormat="1" ht="19.5" customHeight="1">
      <c r="A16" s="25">
        <v>11</v>
      </c>
      <c r="B16" s="26" t="s">
        <v>52</v>
      </c>
      <c r="C16" s="45">
        <f>EnrlST!U16/'ST-Population'!C16%</f>
        <v>132.0502987209336</v>
      </c>
      <c r="D16" s="45">
        <f>EnrlST!V16/'ST-Population'!D16%</f>
        <v>129.95140872608795</v>
      </c>
      <c r="E16" s="45">
        <f>EnrlST!W16/'ST-Population'!E16%</f>
        <v>131.01692691021296</v>
      </c>
      <c r="F16" s="45">
        <f>EnrlST!AG16/'ST-Population'!F16%</f>
        <v>76.19275256359785</v>
      </c>
      <c r="G16" s="45">
        <f>EnrlST!AH16/'ST-Population'!G16%</f>
        <v>75.107056593242675</v>
      </c>
      <c r="H16" s="45">
        <f>EnrlST!AI16/'ST-Population'!H16%</f>
        <v>75.657041922479735</v>
      </c>
      <c r="I16" s="45">
        <f>EnrlST!AJ16/('ST-Population'!C16+'ST-Population'!F16)%</f>
        <v>112.36266126323557</v>
      </c>
      <c r="J16" s="45">
        <f>EnrlST!AK16/('ST-Population'!D16+'ST-Population'!G16)%</f>
        <v>110.56656440118002</v>
      </c>
      <c r="K16" s="45">
        <f>EnrlST!AL16/('ST-Population'!E16+'ST-Population'!H16)%</f>
        <v>111.47768008522509</v>
      </c>
      <c r="L16" s="45">
        <f>EnrlST!AS16/'ST-Population'!I16%</f>
        <v>39.758655970013677</v>
      </c>
      <c r="M16" s="45">
        <f>EnrlST!AT16/'ST-Population'!J16%</f>
        <v>38.210751117266007</v>
      </c>
      <c r="N16" s="45">
        <f>EnrlST!AU16/'ST-Population'!K16%</f>
        <v>39.007617617740806</v>
      </c>
      <c r="O16" s="45">
        <f>EnrlST!AV16/('ST-Population'!C16+'ST-Population'!F16+'ST-Population'!I16)%</f>
        <v>98.770079849484475</v>
      </c>
      <c r="P16" s="45">
        <f>EnrlST!AW16/('ST-Population'!D16+'ST-Population'!G16+'ST-Population'!J16)%</f>
        <v>97.349027151899961</v>
      </c>
      <c r="Q16" s="45">
        <f>EnrlST!AX16/('ST-Population'!E16+'ST-Population'!H16+'ST-Population'!K16)%</f>
        <v>98.071871053161161</v>
      </c>
      <c r="R16" s="45">
        <f>EnrlST!BE16/'ST-Population'!L16%</f>
        <v>12.461445097192765</v>
      </c>
      <c r="S16" s="45">
        <f>EnrlST!BF16/'ST-Population'!M16%</f>
        <v>11.306314259714506</v>
      </c>
      <c r="T16" s="45">
        <f>EnrlST!BG16/'ST-Population'!N16%</f>
        <v>11.907545320442475</v>
      </c>
      <c r="U16" s="45">
        <f>(EnrlST!AS16+EnrlST!BE16)/('ST-Population'!L16+'ST-Population'!I16)%</f>
        <v>27.934493047406633</v>
      </c>
      <c r="V16" s="45">
        <f>(EnrlST!AT16+EnrlST!BF16)/('ST-Population'!M16+'ST-Population'!J16)%</f>
        <v>26.706873372107541</v>
      </c>
      <c r="W16" s="45">
        <f>(EnrlST!AU16+EnrlST!BG16)/('ST-Population'!N16+'ST-Population'!K16)%</f>
        <v>27.341859806612412</v>
      </c>
      <c r="X16" s="45">
        <f>EnrlST!BH16/('ST-Population'!C16+'ST-Population'!F16+'ST-Population'!I16+'ST-Population'!L16)%</f>
        <v>87.967713442709211</v>
      </c>
      <c r="Y16" s="45">
        <f>EnrlST!BI16/('ST-Population'!D16+'ST-Population'!G16+'ST-Population'!J16+'ST-Population'!M16)%</f>
        <v>87.017910070490586</v>
      </c>
      <c r="Z16" s="45">
        <f>EnrlST!BJ16/('ST-Population'!E16+'ST-Population'!H16+'ST-Population'!K16+'ST-Population'!N16)%</f>
        <v>87.502421639732717</v>
      </c>
    </row>
    <row r="17" spans="1:26" s="35" customFormat="1" ht="19.5" customHeight="1">
      <c r="A17" s="25">
        <v>12</v>
      </c>
      <c r="B17" s="26" t="s">
        <v>25</v>
      </c>
      <c r="C17" s="45">
        <f>EnrlST!U17/'ST-Population'!C17%</f>
        <v>108.21907509561983</v>
      </c>
      <c r="D17" s="45">
        <f>EnrlST!V17/'ST-Population'!D17%</f>
        <v>104.49705806739523</v>
      </c>
      <c r="E17" s="45">
        <f>EnrlST!W17/'ST-Population'!E17%</f>
        <v>106.38767098112316</v>
      </c>
      <c r="F17" s="45">
        <f>EnrlST!AG17/'ST-Population'!F17%</f>
        <v>91.762203934313291</v>
      </c>
      <c r="G17" s="45">
        <f>EnrlST!AH17/'ST-Population'!G17%</f>
        <v>86.813169722701758</v>
      </c>
      <c r="H17" s="45">
        <f>EnrlST!AI17/'ST-Population'!H17%</f>
        <v>89.33436585654286</v>
      </c>
      <c r="I17" s="45">
        <f>EnrlST!AJ17/('ST-Population'!C17+'ST-Population'!F17)%</f>
        <v>101.87403461666162</v>
      </c>
      <c r="J17" s="45">
        <f>EnrlST!AK17/('ST-Population'!D17+'ST-Population'!G17)%</f>
        <v>97.703693746172576</v>
      </c>
      <c r="K17" s="45">
        <f>EnrlST!AL17/('ST-Population'!E17+'ST-Population'!H17)%</f>
        <v>99.824406859290576</v>
      </c>
      <c r="L17" s="45">
        <f>EnrlST!AS17/'ST-Population'!I17%</f>
        <v>65.67336222170043</v>
      </c>
      <c r="M17" s="45">
        <f>EnrlST!AT17/'ST-Population'!J17%</f>
        <v>63.013426039727975</v>
      </c>
      <c r="N17" s="45">
        <f>EnrlST!AU17/'ST-Population'!K17%</f>
        <v>64.404745289602232</v>
      </c>
      <c r="O17" s="45">
        <f>EnrlST!AV17/('ST-Population'!C17+'ST-Population'!F17+'ST-Population'!I17)%</f>
        <v>94.166464042321593</v>
      </c>
      <c r="P17" s="45">
        <f>EnrlST!AW17/('ST-Population'!D17+'ST-Population'!G17+'ST-Population'!J17)%</f>
        <v>90.650569033713651</v>
      </c>
      <c r="Q17" s="45">
        <f>EnrlST!AX17/('ST-Population'!E17+'ST-Population'!H17+'ST-Population'!K17)%</f>
        <v>92.449127864736198</v>
      </c>
      <c r="R17" s="45">
        <f>EnrlST!BE17/'ST-Population'!L17%</f>
        <v>34.262602102982989</v>
      </c>
      <c r="S17" s="45">
        <f>EnrlST!BF17/'ST-Population'!M17%</f>
        <v>31.793133780042947</v>
      </c>
      <c r="T17" s="45">
        <f>EnrlST!BG17/'ST-Population'!N17%</f>
        <v>33.112171722650082</v>
      </c>
      <c r="U17" s="45">
        <f>(EnrlST!AS17+EnrlST!BE17)/('ST-Population'!L17+'ST-Population'!I17)%</f>
        <v>50.403663686721877</v>
      </c>
      <c r="V17" s="45">
        <f>(EnrlST!AT17+EnrlST!BF17)/('ST-Population'!M17+'ST-Population'!J17)%</f>
        <v>48.182650534297672</v>
      </c>
      <c r="W17" s="45">
        <f>(EnrlST!AU17+EnrlST!BG17)/('ST-Population'!N17+'ST-Population'!K17)%</f>
        <v>49.356211982020881</v>
      </c>
      <c r="X17" s="45">
        <f>EnrlST!BH17/('ST-Population'!C17+'ST-Population'!F17+'ST-Population'!I17+'ST-Population'!L17)%</f>
        <v>84.123549494510073</v>
      </c>
      <c r="Y17" s="45">
        <f>EnrlST!BI17/('ST-Population'!D17+'ST-Population'!G17+'ST-Population'!J17+'ST-Population'!M17)%</f>
        <v>81.504627210085786</v>
      </c>
      <c r="Z17" s="45">
        <f>EnrlST!BJ17/('ST-Population'!E17+'ST-Population'!H17+'ST-Population'!K17+'ST-Population'!N17)%</f>
        <v>82.853904795129921</v>
      </c>
    </row>
    <row r="18" spans="1:26" s="35" customFormat="1" ht="19.5" customHeight="1">
      <c r="A18" s="25">
        <v>13</v>
      </c>
      <c r="B18" s="26" t="s">
        <v>26</v>
      </c>
      <c r="C18" s="45">
        <f>EnrlST!U18/'ST-Population'!C18%</f>
        <v>94.405015892367317</v>
      </c>
      <c r="D18" s="45">
        <f>EnrlST!V18/'ST-Population'!D18%</f>
        <v>91.835782598553763</v>
      </c>
      <c r="E18" s="45">
        <f>EnrlST!W18/'ST-Population'!E18%</f>
        <v>93.164722309805867</v>
      </c>
      <c r="F18" s="45">
        <f>EnrlST!AG18/'ST-Population'!F18%</f>
        <v>93.163861216076938</v>
      </c>
      <c r="G18" s="45">
        <f>EnrlST!AH18/'ST-Population'!G18%</f>
        <v>89.049194172707431</v>
      </c>
      <c r="H18" s="45">
        <f>EnrlST!AI18/'ST-Population'!H18%</f>
        <v>91.131275205117518</v>
      </c>
      <c r="I18" s="45">
        <f>EnrlST!AJ18/('ST-Population'!C18+'ST-Population'!F18)%</f>
        <v>93.923564841959376</v>
      </c>
      <c r="J18" s="45">
        <f>EnrlST!AK18/('ST-Population'!D18+'ST-Population'!G18)%</f>
        <v>90.724946695095952</v>
      </c>
      <c r="K18" s="45">
        <f>EnrlST!AL18/('ST-Population'!E18+'ST-Population'!H18)%</f>
        <v>92.365306289806739</v>
      </c>
      <c r="L18" s="45">
        <f>EnrlST!AS18/'ST-Population'!I18%</f>
        <v>76.334604385128699</v>
      </c>
      <c r="M18" s="45">
        <f>EnrlST!AT18/'ST-Population'!J18%</f>
        <v>79.489331095660518</v>
      </c>
      <c r="N18" s="45">
        <f>EnrlST!AU18/'ST-Population'!K18%</f>
        <v>77.907254691048166</v>
      </c>
      <c r="O18" s="45">
        <f>EnrlST!AV18/('ST-Population'!C18+'ST-Population'!F18+'ST-Population'!I18)%</f>
        <v>90.708716295683232</v>
      </c>
      <c r="P18" s="45">
        <f>EnrlST!AW18/('ST-Population'!D18+'ST-Population'!G18+'ST-Population'!J18)%</f>
        <v>88.594098122129765</v>
      </c>
      <c r="Q18" s="45">
        <f>EnrlST!AX18/('ST-Population'!E18+'ST-Population'!H18+'ST-Population'!K18)%</f>
        <v>89.674082313681865</v>
      </c>
      <c r="R18" s="45">
        <f>EnrlST!BE18/'ST-Population'!L18%</f>
        <v>44.083623693379792</v>
      </c>
      <c r="S18" s="45">
        <f>EnrlST!BF18/'ST-Population'!M18%</f>
        <v>52.706428675083444</v>
      </c>
      <c r="T18" s="45">
        <f>EnrlST!BG18/'ST-Population'!N18%</f>
        <v>48.307976681359307</v>
      </c>
      <c r="U18" s="45">
        <f>(EnrlST!AS18+EnrlST!BE18)/('ST-Population'!L18+'ST-Population'!I18)%</f>
        <v>61.469775807798555</v>
      </c>
      <c r="V18" s="45">
        <f>(EnrlST!AT18+EnrlST!BF18)/('ST-Population'!M18+'ST-Population'!J18)%</f>
        <v>67.373465502527395</v>
      </c>
      <c r="W18" s="45">
        <f>(EnrlST!AU18+EnrlST!BG18)/('ST-Population'!N18+'ST-Population'!K18)%</f>
        <v>64.389610389610397</v>
      </c>
      <c r="X18" s="45">
        <f>EnrlST!BH18/('ST-Population'!C18+'ST-Population'!F18+'ST-Population'!I18+'ST-Population'!L18)%</f>
        <v>84.407316016500602</v>
      </c>
      <c r="Y18" s="45">
        <f>EnrlST!BI18/('ST-Population'!D18+'ST-Population'!G18+'ST-Population'!J18+'ST-Population'!M18)%</f>
        <v>83.733317609135767</v>
      </c>
      <c r="Z18" s="45">
        <f>EnrlST!BJ18/('ST-Population'!E18+'ST-Population'!H18+'ST-Population'!K18+'ST-Population'!N18)%</f>
        <v>84.07748687070773</v>
      </c>
    </row>
    <row r="19" spans="1:26" s="35" customFormat="1" ht="19.5" customHeight="1">
      <c r="A19" s="25">
        <v>14</v>
      </c>
      <c r="B19" s="26" t="s">
        <v>27</v>
      </c>
      <c r="C19" s="45">
        <f>EnrlST!U19/'ST-Population'!C19%</f>
        <v>127.83913667400442</v>
      </c>
      <c r="D19" s="45">
        <f>EnrlST!V19/'ST-Population'!D19%</f>
        <v>128.25703709968059</v>
      </c>
      <c r="E19" s="45">
        <f>EnrlST!W19/'ST-Population'!E19%</f>
        <v>128.04516159477626</v>
      </c>
      <c r="F19" s="45">
        <f>EnrlST!AG19/'ST-Population'!F19%</f>
        <v>79.685595593838059</v>
      </c>
      <c r="G19" s="45">
        <f>EnrlST!AH19/'ST-Population'!G19%</f>
        <v>82.678566190237078</v>
      </c>
      <c r="H19" s="45">
        <f>EnrlST!AI19/'ST-Population'!H19%</f>
        <v>81.172951724989531</v>
      </c>
      <c r="I19" s="45">
        <f>EnrlST!AJ19/('ST-Population'!C19+'ST-Population'!F19)%</f>
        <v>111.15602836460579</v>
      </c>
      <c r="J19" s="45">
        <f>EnrlST!AK19/('ST-Population'!D19+'ST-Population'!G19)%</f>
        <v>112.30262037273053</v>
      </c>
      <c r="K19" s="45">
        <f>EnrlST!AL19/('ST-Population'!E19+'ST-Population'!H19)%</f>
        <v>111.72287530798319</v>
      </c>
      <c r="L19" s="45">
        <f>EnrlST!AS19/'ST-Population'!I19%</f>
        <v>54.841165099583272</v>
      </c>
      <c r="M19" s="45">
        <f>EnrlST!AT19/'ST-Population'!J19%</f>
        <v>33.911516115079323</v>
      </c>
      <c r="N19" s="45">
        <f>EnrlST!AU19/'ST-Population'!K19%</f>
        <v>44.717452706160429</v>
      </c>
      <c r="O19" s="45">
        <f>EnrlST!AV19/('ST-Population'!C19+'ST-Population'!F19+'ST-Population'!I19)%</f>
        <v>101.16436615934541</v>
      </c>
      <c r="P19" s="45">
        <f>EnrlST!AW19/('ST-Population'!D19+'ST-Population'!G19+'ST-Population'!J19)%</f>
        <v>98.876074344380882</v>
      </c>
      <c r="Q19" s="45">
        <f>EnrlST!AX19/('ST-Population'!E19+'ST-Population'!H19+'ST-Population'!K19)%</f>
        <v>100.03735033056891</v>
      </c>
      <c r="R19" s="45">
        <f>EnrlST!BE19/'ST-Population'!L19%</f>
        <v>37.45840176868905</v>
      </c>
      <c r="S19" s="45">
        <f>EnrlST!BF19/'ST-Population'!M19%</f>
        <v>28.338294819351937</v>
      </c>
      <c r="T19" s="45">
        <f>EnrlST!BG19/'ST-Population'!N19%</f>
        <v>33.07393329958559</v>
      </c>
      <c r="U19" s="45">
        <f>(EnrlST!AS19+EnrlST!BE19)/('ST-Population'!L19+'ST-Population'!I19)%</f>
        <v>46.964821306371938</v>
      </c>
      <c r="V19" s="45">
        <f>(EnrlST!AT19+EnrlST!BF19)/('ST-Population'!M19+'ST-Population'!J19)%</f>
        <v>31.402553661930639</v>
      </c>
      <c r="W19" s="45">
        <f>(EnrlST!AU19+EnrlST!BG19)/('ST-Population'!N19+'ST-Population'!K19)%</f>
        <v>39.458090239748991</v>
      </c>
      <c r="X19" s="45">
        <f>EnrlST!BH19/('ST-Population'!C19+'ST-Population'!F19+'ST-Population'!I19+'ST-Population'!L19)%</f>
        <v>92.999700134177246</v>
      </c>
      <c r="Y19" s="45">
        <f>EnrlST!BI19/('ST-Population'!D19+'ST-Population'!G19+'ST-Population'!J19+'ST-Population'!M19)%</f>
        <v>90.200615658013035</v>
      </c>
      <c r="Z19" s="45">
        <f>EnrlST!BJ19/('ST-Population'!E19+'ST-Population'!H19+'ST-Population'!K19+'ST-Population'!N19)%</f>
        <v>91.625249194644297</v>
      </c>
    </row>
    <row r="20" spans="1:26" s="35" customFormat="1" ht="19.5" customHeight="1">
      <c r="A20" s="25">
        <v>15</v>
      </c>
      <c r="B20" s="26" t="s">
        <v>28</v>
      </c>
      <c r="C20" s="45">
        <f>EnrlST!U20/'ST-Population'!C20%</f>
        <v>109.63442737210924</v>
      </c>
      <c r="D20" s="45">
        <f>EnrlST!V20/'ST-Population'!D20%</f>
        <v>105.03899883201467</v>
      </c>
      <c r="E20" s="45">
        <f>EnrlST!W20/'ST-Population'!E20%</f>
        <v>107.39374195624195</v>
      </c>
      <c r="F20" s="45">
        <f>EnrlST!AG20/'ST-Population'!F20%</f>
        <v>82.951546746134099</v>
      </c>
      <c r="G20" s="45">
        <f>EnrlST!AH20/'ST-Population'!G20%</f>
        <v>77.417832773081088</v>
      </c>
      <c r="H20" s="45">
        <f>EnrlST!AI20/'ST-Population'!H20%</f>
        <v>80.291404558698986</v>
      </c>
      <c r="I20" s="45">
        <f>EnrlST!AJ20/('ST-Population'!C20+'ST-Population'!F20)%</f>
        <v>99.551925557920057</v>
      </c>
      <c r="J20" s="45">
        <f>EnrlST!AK20/('ST-Population'!D20+'ST-Population'!G20)%</f>
        <v>94.78007847821938</v>
      </c>
      <c r="K20" s="45">
        <f>EnrlST!AL20/('ST-Population'!E20+'ST-Population'!H20)%</f>
        <v>97.23751320864605</v>
      </c>
      <c r="L20" s="45">
        <f>EnrlST!AS20/'ST-Population'!I20%</f>
        <v>66.678233282109744</v>
      </c>
      <c r="M20" s="45">
        <f>EnrlST!AT20/'ST-Population'!J20%</f>
        <v>62.613178152492665</v>
      </c>
      <c r="N20" s="45">
        <f>EnrlST!AU20/'ST-Population'!K20%</f>
        <v>64.750953692680682</v>
      </c>
      <c r="O20" s="45">
        <f>EnrlST!AV20/('ST-Population'!C20+'ST-Population'!F20+'ST-Population'!I20)%</f>
        <v>93.26610390256657</v>
      </c>
      <c r="P20" s="45">
        <f>EnrlST!AW20/('ST-Population'!D20+'ST-Population'!G20+'ST-Population'!J20)%</f>
        <v>88.843836886005562</v>
      </c>
      <c r="Q20" s="45">
        <f>EnrlST!AX20/('ST-Population'!E20+'ST-Population'!H20+'ST-Population'!K20)%</f>
        <v>91.130308499111933</v>
      </c>
      <c r="R20" s="45">
        <f>EnrlST!BE20/'ST-Population'!L20%</f>
        <v>55.545545723237503</v>
      </c>
      <c r="S20" s="45">
        <f>EnrlST!BF20/'ST-Population'!M20%</f>
        <v>49.27262564768796</v>
      </c>
      <c r="T20" s="45">
        <f>EnrlST!BG20/'ST-Population'!N20%</f>
        <v>52.606946983546621</v>
      </c>
      <c r="U20" s="45">
        <f>(EnrlST!AS20+EnrlST!BE20)/('ST-Population'!L20+'ST-Population'!I20)%</f>
        <v>61.311268479493371</v>
      </c>
      <c r="V20" s="45">
        <f>(EnrlST!AT20+EnrlST!BF20)/('ST-Population'!M20+'ST-Population'!J20)%</f>
        <v>56.257332108216517</v>
      </c>
      <c r="W20" s="45">
        <f>(EnrlST!AU20+EnrlST!BG20)/('ST-Population'!N20+'ST-Population'!K20)%</f>
        <v>58.92884405948152</v>
      </c>
      <c r="X20" s="45">
        <f>EnrlST!BH20/('ST-Population'!C20+'ST-Population'!F20+'ST-Population'!I20+'ST-Population'!L20)%</f>
        <v>87.566743353491844</v>
      </c>
      <c r="Y20" s="45">
        <f>EnrlST!BI20/('ST-Population'!D20+'ST-Population'!G20+'ST-Population'!J20+'ST-Population'!M20)%</f>
        <v>83.15412601589226</v>
      </c>
      <c r="Z20" s="45">
        <f>EnrlST!BJ20/('ST-Population'!E20+'ST-Population'!H20+'ST-Population'!K20+'ST-Population'!N20)%</f>
        <v>85.445054902973766</v>
      </c>
    </row>
    <row r="21" spans="1:26" s="35" customFormat="1" ht="19.5" customHeight="1">
      <c r="A21" s="25">
        <v>16</v>
      </c>
      <c r="B21" s="26" t="s">
        <v>29</v>
      </c>
      <c r="C21" s="45">
        <f>EnrlST!U21/'ST-Population'!C21%</f>
        <v>126.36725446062576</v>
      </c>
      <c r="D21" s="45">
        <f>EnrlST!V21/'ST-Population'!D21%</f>
        <v>135.17223642121169</v>
      </c>
      <c r="E21" s="45">
        <f>EnrlST!W21/'ST-Population'!E21%</f>
        <v>130.60372163529212</v>
      </c>
      <c r="F21" s="45">
        <f>EnrlST!AG21/'ST-Population'!F21%</f>
        <v>64.242755604155278</v>
      </c>
      <c r="G21" s="45">
        <f>EnrlST!AH21/'ST-Population'!G21%</f>
        <v>67.292588707820613</v>
      </c>
      <c r="H21" s="45">
        <f>EnrlST!AI21/'ST-Population'!H21%</f>
        <v>65.711715708019128</v>
      </c>
      <c r="I21" s="45">
        <f>EnrlST!AJ21/('ST-Population'!C21+'ST-Population'!F21)%</f>
        <v>102.42501420012093</v>
      </c>
      <c r="J21" s="45">
        <f>EnrlST!AK21/('ST-Population'!D21+'ST-Population'!G21)%</f>
        <v>108.97926949654492</v>
      </c>
      <c r="K21" s="45">
        <f>EnrlST!AL21/('ST-Population'!E21+'ST-Population'!H21)%</f>
        <v>105.57984167561557</v>
      </c>
      <c r="L21" s="45">
        <f>EnrlST!AS21/'ST-Population'!I21%</f>
        <v>38.17259579134965</v>
      </c>
      <c r="M21" s="45">
        <f>EnrlST!AT21/'ST-Population'!J21%</f>
        <v>40.080883945981078</v>
      </c>
      <c r="N21" s="45">
        <f>EnrlST!AU21/'ST-Population'!K21%</f>
        <v>39.101842734561821</v>
      </c>
      <c r="O21" s="45">
        <f>EnrlST!AV21/('ST-Population'!C21+'ST-Population'!F21+'ST-Population'!I21)%</f>
        <v>88.872422866726424</v>
      </c>
      <c r="P21" s="45">
        <f>EnrlST!AW21/('ST-Population'!D21+'ST-Population'!G21+'ST-Population'!J21)%</f>
        <v>94.187326542319795</v>
      </c>
      <c r="Q21" s="45">
        <f>EnrlST!AX21/('ST-Population'!E21+'ST-Population'!H21+'ST-Population'!K21)%</f>
        <v>91.43704690153595</v>
      </c>
      <c r="R21" s="45">
        <f>EnrlST!BE21/'ST-Population'!L21%</f>
        <v>18.621182488340605</v>
      </c>
      <c r="S21" s="45">
        <f>EnrlST!BF21/'ST-Population'!M21%</f>
        <v>19.563385675986211</v>
      </c>
      <c r="T21" s="45">
        <f>EnrlST!BG21/'ST-Population'!N21%</f>
        <v>19.088010930206078</v>
      </c>
      <c r="U21" s="45">
        <f>(EnrlST!AS21+EnrlST!BE21)/('ST-Population'!L21+'ST-Population'!I21)%</f>
        <v>28.850912742531293</v>
      </c>
      <c r="V21" s="45">
        <f>(EnrlST!AT21+EnrlST!BF21)/('ST-Population'!M21+'ST-Population'!J21)%</f>
        <v>30.12415433796744</v>
      </c>
      <c r="W21" s="45">
        <f>(EnrlST!AU21+EnrlST!BG21)/('ST-Population'!N21+'ST-Population'!K21)%</f>
        <v>29.476133978278725</v>
      </c>
      <c r="X21" s="45">
        <f>EnrlST!BH21/('ST-Population'!C21+'ST-Population'!F21+'ST-Population'!I21+'ST-Population'!L21)%</f>
        <v>77.546689303904927</v>
      </c>
      <c r="Y21" s="45">
        <f>EnrlST!BI21/('ST-Population'!D21+'ST-Population'!G21+'ST-Population'!J21+'ST-Population'!M21)%</f>
        <v>81.625232102331339</v>
      </c>
      <c r="Z21" s="45">
        <f>EnrlST!BJ21/('ST-Population'!E21+'ST-Population'!H21+'ST-Population'!K21+'ST-Population'!N21)%</f>
        <v>79.523410744194194</v>
      </c>
    </row>
    <row r="22" spans="1:26" s="35" customFormat="1" ht="19.5" customHeight="1">
      <c r="A22" s="25">
        <v>17</v>
      </c>
      <c r="B22" s="26" t="s">
        <v>30</v>
      </c>
      <c r="C22" s="45">
        <f>EnrlST!U22/'ST-Population'!C22%</f>
        <v>133.88533148322963</v>
      </c>
      <c r="D22" s="45">
        <f>EnrlST!V22/'ST-Population'!D22%</f>
        <v>139.84444846990354</v>
      </c>
      <c r="E22" s="45">
        <f>EnrlST!W22/'ST-Population'!E22%</f>
        <v>136.8244187688592</v>
      </c>
      <c r="F22" s="45">
        <f>EnrlST!AG22/'ST-Population'!F22%</f>
        <v>78.981093581325325</v>
      </c>
      <c r="G22" s="45">
        <f>EnrlST!AH22/'ST-Population'!G22%</f>
        <v>91.344692585622127</v>
      </c>
      <c r="H22" s="45">
        <f>EnrlST!AI22/'ST-Population'!H22%</f>
        <v>85.113212067967183</v>
      </c>
      <c r="I22" s="45">
        <f>EnrlST!AJ22/('ST-Population'!C22+'ST-Population'!F22)%</f>
        <v>113.85861417470747</v>
      </c>
      <c r="J22" s="45">
        <f>EnrlST!AK22/('ST-Population'!D22+'ST-Population'!G22)%</f>
        <v>122.02895443152158</v>
      </c>
      <c r="K22" s="45">
        <f>EnrlST!AL22/('ST-Population'!E22+'ST-Population'!H22)%</f>
        <v>117.89658895947643</v>
      </c>
      <c r="L22" s="45">
        <f>EnrlST!AS22/'ST-Population'!I22%</f>
        <v>50.052943500592654</v>
      </c>
      <c r="M22" s="45">
        <f>EnrlST!AT22/'ST-Population'!J22%</f>
        <v>58.663260286580233</v>
      </c>
      <c r="N22" s="45">
        <f>EnrlST!AU22/'ST-Population'!K22%</f>
        <v>54.349375267233597</v>
      </c>
      <c r="O22" s="45">
        <f>EnrlST!AV22/('ST-Population'!C22+'ST-Population'!F22+'ST-Population'!I22)%</f>
        <v>101.98740340848947</v>
      </c>
      <c r="P22" s="45">
        <f>EnrlST!AW22/('ST-Population'!D22+'ST-Population'!G22+'ST-Population'!J22)%</f>
        <v>110.0556799884862</v>
      </c>
      <c r="Q22" s="45">
        <f>EnrlST!AX22/('ST-Population'!E22+'ST-Population'!H22+'ST-Population'!K22)%</f>
        <v>105.98214086890685</v>
      </c>
      <c r="R22" s="45">
        <f>EnrlST!BE22/'ST-Population'!L22%</f>
        <v>12.340905980566582</v>
      </c>
      <c r="S22" s="45">
        <f>EnrlST!BF22/'ST-Population'!M22%</f>
        <v>16.682867557715674</v>
      </c>
      <c r="T22" s="45">
        <f>EnrlST!BG22/'ST-Population'!N22%</f>
        <v>14.496062585080901</v>
      </c>
      <c r="U22" s="45">
        <f>(EnrlST!AS22+EnrlST!BE22)/('ST-Population'!L22+'ST-Population'!I22)%</f>
        <v>31.943383361674513</v>
      </c>
      <c r="V22" s="45">
        <f>(EnrlST!AT22+EnrlST!BF22)/('ST-Population'!M22+'ST-Population'!J22)%</f>
        <v>38.614263568461979</v>
      </c>
      <c r="W22" s="45">
        <f>(EnrlST!AU22+EnrlST!BG22)/('ST-Population'!N22+'ST-Population'!K22)%</f>
        <v>35.263657369202839</v>
      </c>
      <c r="X22" s="45">
        <f>EnrlST!BH22/('ST-Population'!C22+'ST-Population'!F22+'ST-Population'!I22+'ST-Population'!L22)%</f>
        <v>88.83873460662204</v>
      </c>
      <c r="Y22" s="45">
        <f>EnrlST!BI22/('ST-Population'!D22+'ST-Population'!G22+'ST-Population'!J22+'ST-Population'!M22)%</f>
        <v>96.302441942815946</v>
      </c>
      <c r="Z22" s="45">
        <f>EnrlST!BJ22/('ST-Population'!E22+'ST-Population'!H22+'ST-Population'!K22+'ST-Population'!N22)%</f>
        <v>92.535498960959686</v>
      </c>
    </row>
    <row r="23" spans="1:26" s="35" customFormat="1" ht="19.5" customHeight="1">
      <c r="A23" s="25">
        <v>18</v>
      </c>
      <c r="B23" s="26" t="s">
        <v>31</v>
      </c>
      <c r="C23" s="45">
        <f>EnrlST!U23/'ST-Population'!C23%</f>
        <v>129.06538501434943</v>
      </c>
      <c r="D23" s="45">
        <f>EnrlST!V23/'ST-Population'!D23%</f>
        <v>121.50791099682131</v>
      </c>
      <c r="E23" s="45">
        <f>EnrlST!W23/'ST-Population'!E23%</f>
        <v>125.34785664089949</v>
      </c>
      <c r="F23" s="45">
        <f>EnrlST!AG23/'ST-Population'!F23%</f>
        <v>98.222380232868204</v>
      </c>
      <c r="G23" s="45">
        <f>EnrlST!AH23/'ST-Population'!G23%</f>
        <v>93.000831767351585</v>
      </c>
      <c r="H23" s="45">
        <f>EnrlST!AI23/'ST-Population'!H23%</f>
        <v>95.662548705711785</v>
      </c>
      <c r="I23" s="45">
        <f>EnrlST!AJ23/('ST-Population'!C23+'ST-Population'!F23)%</f>
        <v>117.69965609476499</v>
      </c>
      <c r="J23" s="45">
        <f>EnrlST!AK23/('ST-Population'!D23+'ST-Population'!G23)%</f>
        <v>111.04692569438949</v>
      </c>
      <c r="K23" s="45">
        <f>EnrlST!AL23/('ST-Population'!E23+'ST-Population'!H23)%</f>
        <v>114.43122618769925</v>
      </c>
      <c r="L23" s="45">
        <f>EnrlST!AS23/'ST-Population'!I23%</f>
        <v>80.857980038458024</v>
      </c>
      <c r="M23" s="45">
        <f>EnrlST!AT23/'ST-Population'!J23%</f>
        <v>84.458472699863378</v>
      </c>
      <c r="N23" s="45">
        <f>EnrlST!AU23/'ST-Population'!K23%</f>
        <v>82.632519909912006</v>
      </c>
      <c r="O23" s="45">
        <f>EnrlST!AV23/('ST-Population'!C23+'ST-Population'!F23+'ST-Population'!I23)%</f>
        <v>110.60588696809684</v>
      </c>
      <c r="P23" s="45">
        <f>EnrlST!AW23/('ST-Population'!D23+'ST-Population'!G23+'ST-Population'!J23)%</f>
        <v>105.9013912440968</v>
      </c>
      <c r="Q23" s="45">
        <f>EnrlST!AX23/('ST-Population'!E23+'ST-Population'!H23+'ST-Population'!K23)%</f>
        <v>108.29318358035702</v>
      </c>
      <c r="R23" s="45">
        <f>EnrlST!BE23/'ST-Population'!L23%</f>
        <v>46.984783017095623</v>
      </c>
      <c r="S23" s="45">
        <f>EnrlST!BF23/'ST-Population'!M23%</f>
        <v>47.823362098057174</v>
      </c>
      <c r="T23" s="45">
        <f>EnrlST!BG23/'ST-Population'!N23%</f>
        <v>47.398596407755441</v>
      </c>
      <c r="U23" s="45">
        <f>(EnrlST!AS23+EnrlST!BE23)/('ST-Population'!L23+'ST-Population'!I23)%</f>
        <v>64.13733945379515</v>
      </c>
      <c r="V23" s="45">
        <f>(EnrlST!AT23+EnrlST!BF23)/('ST-Population'!M23+'ST-Population'!J23)%</f>
        <v>66.352156302120562</v>
      </c>
      <c r="W23" s="45">
        <f>(EnrlST!AU23+EnrlST!BG23)/('ST-Population'!N23+'ST-Population'!K23)%</f>
        <v>65.229601428840013</v>
      </c>
      <c r="X23" s="45">
        <f>EnrlST!BH23/('ST-Population'!C23+'ST-Population'!F23+'ST-Population'!I23+'ST-Population'!L23)%</f>
        <v>100.55147741020865</v>
      </c>
      <c r="Y23" s="45">
        <f>EnrlST!BI23/('ST-Population'!D23+'ST-Population'!G23+'ST-Population'!J23+'ST-Population'!M23)%</f>
        <v>96.664852141778283</v>
      </c>
      <c r="Z23" s="45">
        <f>EnrlST!BJ23/('ST-Population'!E23+'ST-Population'!H23+'ST-Population'!K23+'ST-Population'!N23)%</f>
        <v>98.639678983851141</v>
      </c>
    </row>
    <row r="24" spans="1:26" s="35" customFormat="1" ht="19.5" customHeight="1">
      <c r="A24" s="25">
        <v>19</v>
      </c>
      <c r="B24" s="26" t="s">
        <v>54</v>
      </c>
      <c r="C24" s="45">
        <f>EnrlST!U24/'ST-Population'!C24%</f>
        <v>97.511562528339525</v>
      </c>
      <c r="D24" s="45">
        <f>EnrlST!V24/'ST-Population'!D24%</f>
        <v>96.158134033910798</v>
      </c>
      <c r="E24" s="45">
        <f>EnrlST!W24/'ST-Population'!E24%</f>
        <v>96.857414617918408</v>
      </c>
      <c r="F24" s="45">
        <f>EnrlST!AG24/'ST-Population'!F24%</f>
        <v>63.988785485717642</v>
      </c>
      <c r="G24" s="45">
        <f>EnrlST!AH24/'ST-Population'!G24%</f>
        <v>63.693965585349282</v>
      </c>
      <c r="H24" s="45">
        <f>EnrlST!AI24/'ST-Population'!H24%</f>
        <v>63.846803588686043</v>
      </c>
      <c r="I24" s="45">
        <f>EnrlST!AJ24/('ST-Population'!C24+'ST-Population'!F24)%</f>
        <v>84.709858965447651</v>
      </c>
      <c r="J24" s="45">
        <f>EnrlST!AK24/('ST-Population'!D24+'ST-Population'!G24)%</f>
        <v>83.813987022350389</v>
      </c>
      <c r="K24" s="45">
        <f>EnrlST!AL24/('ST-Population'!E24+'ST-Population'!H24)%</f>
        <v>84.277453630131419</v>
      </c>
      <c r="L24" s="45">
        <f>EnrlST!AS24/'ST-Population'!I24%</f>
        <v>34.573406096100094</v>
      </c>
      <c r="M24" s="45">
        <f>EnrlST!AT24/'ST-Population'!J24%</f>
        <v>36.402427460648589</v>
      </c>
      <c r="N24" s="45">
        <f>EnrlST!AU24/'ST-Population'!K24%</f>
        <v>35.457587495129609</v>
      </c>
      <c r="O24" s="45">
        <f>EnrlST!AV24/('ST-Population'!C24+'ST-Population'!F24+'ST-Population'!I24)%</f>
        <v>74.596597367031521</v>
      </c>
      <c r="P24" s="45">
        <f>EnrlST!AW24/('ST-Population'!D24+'ST-Population'!G24+'ST-Population'!J24)%</f>
        <v>74.227318045862418</v>
      </c>
      <c r="Q24" s="45">
        <f>EnrlST!AX24/('ST-Population'!E24+'ST-Population'!H24+'ST-Population'!K24)%</f>
        <v>74.418303255280065</v>
      </c>
      <c r="R24" s="45">
        <f>EnrlST!BE24/'ST-Population'!L24%</f>
        <v>24.80195150227031</v>
      </c>
      <c r="S24" s="45">
        <f>EnrlST!BF24/'ST-Population'!M24%</f>
        <v>22.809185968902185</v>
      </c>
      <c r="T24" s="45">
        <f>EnrlST!BG24/'ST-Population'!N24%</f>
        <v>23.81714453253845</v>
      </c>
      <c r="U24" s="45">
        <f>(EnrlST!AS24+EnrlST!BE24)/('ST-Population'!L24+'ST-Population'!I24)%</f>
        <v>29.895238315487614</v>
      </c>
      <c r="V24" s="45">
        <f>(EnrlST!AT24+EnrlST!BF24)/('ST-Population'!M24+'ST-Population'!J24)%</f>
        <v>29.748175756622334</v>
      </c>
      <c r="W24" s="45">
        <f>(EnrlST!AU24+EnrlST!BG24)/('ST-Population'!N24+'ST-Population'!K24)%</f>
        <v>29.823378804273911</v>
      </c>
      <c r="X24" s="45">
        <f>EnrlST!BH24/('ST-Population'!C24+'ST-Population'!F24+'ST-Population'!I24+'ST-Population'!L24)%</f>
        <v>66.813023354147944</v>
      </c>
      <c r="Y24" s="45">
        <f>EnrlST!BI24/('ST-Population'!D24+'ST-Population'!G24+'ST-Population'!J24+'ST-Population'!M24)%</f>
        <v>65.876415726863584</v>
      </c>
      <c r="Z24" s="45">
        <f>EnrlST!BJ24/('ST-Population'!E24+'ST-Population'!H24+'ST-Population'!K24+'ST-Population'!N24)%</f>
        <v>66.359117043320907</v>
      </c>
    </row>
    <row r="25" spans="1:26" s="35" customFormat="1" ht="19.5" customHeight="1">
      <c r="A25" s="25">
        <v>20</v>
      </c>
      <c r="B25" s="2" t="s">
        <v>55</v>
      </c>
      <c r="C25" s="45">
        <f>EnrlST!U25/'ST-Population'!C25%</f>
        <v>114.91955033517999</v>
      </c>
      <c r="D25" s="45">
        <f>EnrlST!V25/'ST-Population'!D25%</f>
        <v>108.45445023145355</v>
      </c>
      <c r="E25" s="45">
        <f>EnrlST!W25/'ST-Population'!E25%</f>
        <v>111.67987202879351</v>
      </c>
      <c r="F25" s="45">
        <f>EnrlST!AG25/'ST-Population'!F25%</f>
        <v>63.685538158425004</v>
      </c>
      <c r="G25" s="45">
        <f>EnrlST!AH25/'ST-Population'!G25%</f>
        <v>57.957122799438388</v>
      </c>
      <c r="H25" s="45">
        <f>EnrlST!AI25/'ST-Population'!H25%</f>
        <v>60.828449115603711</v>
      </c>
      <c r="I25" s="45">
        <f>EnrlST!AJ25/('ST-Population'!C25+'ST-Population'!F25)%</f>
        <v>96.924793212526879</v>
      </c>
      <c r="J25" s="45">
        <f>EnrlST!AK25/('ST-Population'!D25+'ST-Population'!G25)%</f>
        <v>90.826229982059658</v>
      </c>
      <c r="K25" s="45">
        <f>EnrlST!AL25/('ST-Population'!E25+'ST-Population'!H25)%</f>
        <v>93.873795706564223</v>
      </c>
      <c r="L25" s="45">
        <f>EnrlST!AS25/'ST-Population'!I25%</f>
        <v>41.99728688266751</v>
      </c>
      <c r="M25" s="45">
        <f>EnrlST!AT25/'ST-Population'!J25%</f>
        <v>37.549642670470362</v>
      </c>
      <c r="N25" s="45">
        <f>EnrlST!AU25/'ST-Population'!K25%</f>
        <v>39.76661627904128</v>
      </c>
      <c r="O25" s="45">
        <f>EnrlST!AV25/('ST-Population'!C25+'ST-Population'!F25+'ST-Population'!I25)%</f>
        <v>87.267685378577681</v>
      </c>
      <c r="P25" s="45">
        <f>EnrlST!AW25/('ST-Population'!D25+'ST-Population'!G25+'ST-Population'!J25)%</f>
        <v>81.420454937458175</v>
      </c>
      <c r="Q25" s="45">
        <f>EnrlST!AX25/('ST-Population'!E25+'ST-Population'!H25+'ST-Population'!K25)%</f>
        <v>84.341128568943574</v>
      </c>
      <c r="R25" s="45">
        <f>EnrlST!BE25/'ST-Population'!L25%</f>
        <v>20.831098192342719</v>
      </c>
      <c r="S25" s="45">
        <f>EnrlST!BF25/'ST-Population'!M25%</f>
        <v>13.647927126052069</v>
      </c>
      <c r="T25" s="45">
        <f>EnrlST!BG25/'ST-Population'!N25%</f>
        <v>17.208277039038613</v>
      </c>
      <c r="U25" s="45">
        <f>(EnrlST!AS25+EnrlST!BE25)/('ST-Population'!L25+'ST-Population'!I25)%</f>
        <v>32.669184713585906</v>
      </c>
      <c r="V25" s="45">
        <f>(EnrlST!AT25+EnrlST!BF25)/('ST-Population'!M25+'ST-Population'!J25)%</f>
        <v>26.949739563510619</v>
      </c>
      <c r="W25" s="45">
        <f>(EnrlST!AU25+EnrlST!BG25)/('ST-Population'!N25+'ST-Population'!K25)%</f>
        <v>29.793553466426467</v>
      </c>
      <c r="X25" s="45">
        <f>EnrlST!BH25/('ST-Population'!C25+'ST-Population'!F25+'ST-Population'!I25+'ST-Population'!L25)%</f>
        <v>79.183639701836242</v>
      </c>
      <c r="Y25" s="45">
        <f>EnrlST!BI25/('ST-Population'!D25+'ST-Population'!G25+'ST-Population'!J25+'ST-Population'!M25)%</f>
        <v>73.061787665148273</v>
      </c>
      <c r="Z25" s="45">
        <f>EnrlST!BJ25/('ST-Population'!E25+'ST-Population'!H25+'ST-Population'!K25+'ST-Population'!N25)%</f>
        <v>76.116749980872697</v>
      </c>
    </row>
    <row r="26" spans="1:26" s="35" customFormat="1" ht="19.5" customHeight="1">
      <c r="A26" s="25">
        <v>21</v>
      </c>
      <c r="B26" s="26" t="s">
        <v>74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s="35" customFormat="1" ht="19.5" customHeight="1">
      <c r="A27" s="25">
        <v>22</v>
      </c>
      <c r="B27" s="26" t="s">
        <v>32</v>
      </c>
      <c r="C27" s="45">
        <f>EnrlST!U27/'ST-Population'!C27%</f>
        <v>114.52846880533855</v>
      </c>
      <c r="D27" s="45">
        <f>EnrlST!V27/'ST-Population'!D27%</f>
        <v>108.50254299174739</v>
      </c>
      <c r="E27" s="45">
        <f>EnrlST!W27/'ST-Population'!E27%</f>
        <v>111.63043131989591</v>
      </c>
      <c r="F27" s="45">
        <f>EnrlST!AG27/'ST-Population'!F27%</f>
        <v>79.54925383048446</v>
      </c>
      <c r="G27" s="45">
        <f>EnrlST!AH27/'ST-Population'!G27%</f>
        <v>68.71826481788888</v>
      </c>
      <c r="H27" s="45">
        <f>EnrlST!AI27/'ST-Population'!H27%</f>
        <v>74.397843906743461</v>
      </c>
      <c r="I27" s="45">
        <f>EnrlST!AJ27/('ST-Population'!C27+'ST-Population'!F27)%</f>
        <v>102.25052678414431</v>
      </c>
      <c r="J27" s="45">
        <f>EnrlST!AK27/('ST-Population'!D27+'ST-Population'!G27)%</f>
        <v>94.730253901050844</v>
      </c>
      <c r="K27" s="45">
        <f>EnrlST!AL27/('ST-Population'!E27+'ST-Population'!H27)%</f>
        <v>98.64774114928592</v>
      </c>
      <c r="L27" s="45">
        <f>EnrlST!AS27/'ST-Population'!I27%</f>
        <v>69.281706581499606</v>
      </c>
      <c r="M27" s="45">
        <f>EnrlST!AT27/'ST-Population'!J27%</f>
        <v>54.125616656117273</v>
      </c>
      <c r="N27" s="45">
        <f>EnrlST!AU27/'ST-Population'!K27%</f>
        <v>62.110550236390409</v>
      </c>
      <c r="O27" s="45">
        <f>EnrlST!AV27/('ST-Population'!C27+'ST-Population'!F27+'ST-Population'!I27)%</f>
        <v>96.219741420914929</v>
      </c>
      <c r="P27" s="45">
        <f>EnrlST!AW27/('ST-Population'!D27+'ST-Population'!G27+'ST-Population'!J27)%</f>
        <v>87.445725712987951</v>
      </c>
      <c r="Q27" s="45">
        <f>EnrlST!AX27/('ST-Population'!E27+'ST-Population'!H27+'ST-Population'!K27)%</f>
        <v>92.025735889740744</v>
      </c>
      <c r="R27" s="45">
        <f>EnrlST!BE27/'ST-Population'!L27%</f>
        <v>47.79247900010909</v>
      </c>
      <c r="S27" s="45">
        <f>EnrlST!BF27/'ST-Population'!M27%</f>
        <v>30.414867762687635</v>
      </c>
      <c r="T27" s="45">
        <f>EnrlST!BG27/'ST-Population'!N27%</f>
        <v>39.520545707939547</v>
      </c>
      <c r="U27" s="45">
        <f>(EnrlST!AS27+EnrlST!BE27)/('ST-Population'!L27+'ST-Population'!I27)%</f>
        <v>59.501123064191987</v>
      </c>
      <c r="V27" s="45">
        <f>(EnrlST!AT27+EnrlST!BF27)/('ST-Population'!M27+'ST-Population'!J27)%</f>
        <v>43.266516166541834</v>
      </c>
      <c r="W27" s="45">
        <f>(EnrlST!AU27+EnrlST!BG27)/('ST-Population'!N27+'ST-Population'!K27)%</f>
        <v>51.798486060925363</v>
      </c>
      <c r="X27" s="45">
        <f>EnrlST!BH27/('ST-Population'!C27+'ST-Population'!F27+'ST-Population'!I27+'ST-Population'!L27)%</f>
        <v>89.800793081913014</v>
      </c>
      <c r="Y27" s="45">
        <f>EnrlST!BI27/('ST-Population'!D27+'ST-Population'!G27+'ST-Population'!J27+'ST-Population'!M27)%</f>
        <v>79.938592674779045</v>
      </c>
      <c r="Z27" s="45">
        <f>EnrlST!BJ27/('ST-Population'!E27+'ST-Population'!H27+'ST-Population'!K27+'ST-Population'!N27)%</f>
        <v>85.089227438718495</v>
      </c>
    </row>
    <row r="28" spans="1:26" s="35" customFormat="1" ht="19.5" customHeight="1">
      <c r="A28" s="25">
        <v>23</v>
      </c>
      <c r="B28" s="26" t="s">
        <v>33</v>
      </c>
      <c r="C28" s="45">
        <f>EnrlST!U28/'ST-Population'!C28%</f>
        <v>136.44569816643161</v>
      </c>
      <c r="D28" s="45">
        <f>EnrlST!V28/'ST-Population'!D28%</f>
        <v>142.20342241876563</v>
      </c>
      <c r="E28" s="45">
        <f>EnrlST!W28/'ST-Population'!E28%</f>
        <v>139.29267481104719</v>
      </c>
      <c r="F28" s="45">
        <f>EnrlST!AG28/'ST-Population'!F28%</f>
        <v>87.555865921787714</v>
      </c>
      <c r="G28" s="45">
        <f>EnrlST!AH28/'ST-Population'!G28%</f>
        <v>114.54597210361514</v>
      </c>
      <c r="H28" s="45">
        <f>EnrlST!AI28/'ST-Population'!H28%</f>
        <v>100.92344565064147</v>
      </c>
      <c r="I28" s="45">
        <f>EnrlST!AJ28/('ST-Population'!C28+'ST-Population'!F28)%</f>
        <v>116.77437482438889</v>
      </c>
      <c r="J28" s="45">
        <f>EnrlST!AK28/('ST-Population'!D28+'ST-Population'!G28)%</f>
        <v>131.05347716318568</v>
      </c>
      <c r="K28" s="45">
        <f>EnrlST!AL28/('ST-Population'!E28+'ST-Population'!H28)%</f>
        <v>123.83953666638276</v>
      </c>
      <c r="L28" s="45">
        <f>EnrlST!AS28/'ST-Population'!I28%</f>
        <v>56.334794406178254</v>
      </c>
      <c r="M28" s="45">
        <f>EnrlST!AT28/'ST-Population'!J28%</f>
        <v>72.421097225164161</v>
      </c>
      <c r="N28" s="45">
        <f>EnrlST!AU28/'ST-Population'!K28%</f>
        <v>64.318755256518074</v>
      </c>
      <c r="O28" s="45">
        <f>EnrlST!AV28/('ST-Population'!C28+'ST-Population'!F28+'ST-Population'!I28)%</f>
        <v>103.95377667581687</v>
      </c>
      <c r="P28" s="45">
        <f>EnrlST!AW28/('ST-Population'!D28+'ST-Population'!G28+'ST-Population'!J28)%</f>
        <v>118.5561424895029</v>
      </c>
      <c r="Q28" s="45">
        <f>EnrlST!AX28/('ST-Population'!E28+'ST-Population'!H28+'ST-Population'!K28)%</f>
        <v>111.18363697328714</v>
      </c>
      <c r="R28" s="45">
        <f>EnrlST!BE28/'ST-Population'!L28%</f>
        <v>34.091392136025505</v>
      </c>
      <c r="S28" s="45">
        <f>EnrlST!BF28/'ST-Population'!M28%</f>
        <v>45.349082472052309</v>
      </c>
      <c r="T28" s="45">
        <f>EnrlST!BG28/'ST-Population'!N28%</f>
        <v>39.741689604065215</v>
      </c>
      <c r="U28" s="45">
        <f>(EnrlST!AS28+EnrlST!BE28)/('ST-Population'!L28+'ST-Population'!I28)%</f>
        <v>45.313816343723673</v>
      </c>
      <c r="V28" s="45">
        <f>(EnrlST!AT28+EnrlST!BF28)/('ST-Population'!M28+'ST-Population'!J28)%</f>
        <v>58.856478545761995</v>
      </c>
      <c r="W28" s="45">
        <f>(EnrlST!AU28+EnrlST!BG28)/('ST-Population'!N28+'ST-Population'!K28)%</f>
        <v>52.073003481379892</v>
      </c>
      <c r="X28" s="45">
        <f>EnrlST!BH28/('ST-Population'!C28+'ST-Population'!F28+'ST-Population'!I28+'ST-Population'!L28)%</f>
        <v>91.909420688138937</v>
      </c>
      <c r="Y28" s="45">
        <f>EnrlST!BI28/('ST-Population'!D28+'ST-Population'!G28+'ST-Population'!J28+'ST-Population'!M28)%</f>
        <v>105.64894012644106</v>
      </c>
      <c r="Z28" s="45">
        <f>EnrlST!BJ28/('ST-Population'!E28+'ST-Population'!H28+'ST-Population'!K28+'ST-Population'!N28)%</f>
        <v>98.728336501725707</v>
      </c>
    </row>
    <row r="29" spans="1:26" s="35" customFormat="1" ht="19.5" customHeight="1">
      <c r="A29" s="25">
        <v>24</v>
      </c>
      <c r="B29" s="26" t="s">
        <v>34</v>
      </c>
      <c r="C29" s="45">
        <f>EnrlST!U29/'ST-Population'!C29%</f>
        <v>168.41850382806015</v>
      </c>
      <c r="D29" s="45">
        <f>EnrlST!V29/'ST-Population'!D29%</f>
        <v>170.21804862459746</v>
      </c>
      <c r="E29" s="45">
        <f>EnrlST!W29/'ST-Population'!E29%</f>
        <v>169.28953035945887</v>
      </c>
      <c r="F29" s="45">
        <f>EnrlST!AG29/'ST-Population'!F29%</f>
        <v>129.12717219589257</v>
      </c>
      <c r="G29" s="45">
        <f>EnrlST!AH29/'ST-Population'!G29%</f>
        <v>129.90507670141537</v>
      </c>
      <c r="H29" s="45">
        <f>EnrlST!AI29/'ST-Population'!H29%</f>
        <v>129.50243264238114</v>
      </c>
      <c r="I29" s="45">
        <f>EnrlST!AJ29/('ST-Population'!C29+'ST-Population'!F29)%</f>
        <v>153.93395841826333</v>
      </c>
      <c r="J29" s="45">
        <f>EnrlST!AK29/('ST-Population'!D29+'ST-Population'!G29)%</f>
        <v>155.41795665634675</v>
      </c>
      <c r="K29" s="45">
        <f>EnrlST!AL29/('ST-Population'!E29+'ST-Population'!H29)%</f>
        <v>154.65136393378512</v>
      </c>
      <c r="L29" s="45">
        <f>EnrlST!AS29/'ST-Population'!I29%</f>
        <v>62.181072441039873</v>
      </c>
      <c r="M29" s="45">
        <f>EnrlST!AT29/'ST-Population'!J29%</f>
        <v>63.916815865583253</v>
      </c>
      <c r="N29" s="45">
        <f>EnrlST!AU29/'ST-Population'!K29%</f>
        <v>62.991543680267519</v>
      </c>
      <c r="O29" s="45">
        <f>EnrlST!AV29/('ST-Population'!C29+'ST-Population'!F29+'ST-Population'!I29)%</f>
        <v>136.09302980190705</v>
      </c>
      <c r="P29" s="45">
        <f>EnrlST!AW29/('ST-Population'!D29+'ST-Population'!G29+'ST-Population'!J29)%</f>
        <v>138.55505780530208</v>
      </c>
      <c r="Q29" s="45">
        <f>EnrlST!AX29/('ST-Population'!E29+'ST-Population'!H29+'ST-Population'!K29)%</f>
        <v>137.27554217308091</v>
      </c>
      <c r="R29" s="45">
        <f>EnrlST!BE29/'ST-Population'!L29%</f>
        <v>35.25917544728096</v>
      </c>
      <c r="S29" s="45">
        <f>EnrlST!BF29/'ST-Population'!M29%</f>
        <v>41.450190175608967</v>
      </c>
      <c r="T29" s="45">
        <f>EnrlST!BG29/'ST-Population'!N29%</f>
        <v>38.146275190580418</v>
      </c>
      <c r="U29" s="45">
        <f>(EnrlST!AS29+EnrlST!BE29)/('ST-Population'!L29+'ST-Population'!I29)%</f>
        <v>49.788411458333336</v>
      </c>
      <c r="V29" s="45">
        <f>(EnrlST!AT29+EnrlST!BF29)/('ST-Population'!M29+'ST-Population'!J29)%</f>
        <v>53.588303136277389</v>
      </c>
      <c r="W29" s="45">
        <f>(EnrlST!AU29+EnrlST!BG29)/('ST-Population'!N29+'ST-Population'!K29)%</f>
        <v>51.561659056580844</v>
      </c>
      <c r="X29" s="45">
        <f>EnrlST!BH29/('ST-Population'!C29+'ST-Population'!F29+'ST-Population'!I29+'ST-Population'!L29)%</f>
        <v>121.74862178584364</v>
      </c>
      <c r="Y29" s="45">
        <f>EnrlST!BI29/('ST-Population'!D29+'ST-Population'!G29+'ST-Population'!J29+'ST-Population'!M29)%</f>
        <v>125.39163631576639</v>
      </c>
      <c r="Z29" s="45">
        <f>EnrlST!BJ29/('ST-Population'!E29+'ST-Population'!H29+'ST-Population'!K29+'ST-Population'!N29)%</f>
        <v>123.49128883291353</v>
      </c>
    </row>
    <row r="30" spans="1:26" s="35" customFormat="1" ht="19.5" customHeight="1">
      <c r="A30" s="25">
        <v>25</v>
      </c>
      <c r="B30" s="26" t="s">
        <v>35</v>
      </c>
      <c r="C30" s="45">
        <f>EnrlST!U30/'ST-Population'!C30%</f>
        <v>118.72918153699737</v>
      </c>
      <c r="D30" s="45">
        <f>EnrlST!V30/'ST-Population'!D30%</f>
        <v>118.42882916511135</v>
      </c>
      <c r="E30" s="45">
        <f>EnrlST!W30/'ST-Population'!E30%</f>
        <v>118.5823754789272</v>
      </c>
      <c r="F30" s="45">
        <f>EnrlST!AG30/'ST-Population'!F30%</f>
        <v>95.993639190183472</v>
      </c>
      <c r="G30" s="45">
        <f>EnrlST!AH30/'ST-Population'!G30%</f>
        <v>89.494192581491191</v>
      </c>
      <c r="H30" s="45">
        <f>EnrlST!AI30/'ST-Population'!H30%</f>
        <v>92.826891247200862</v>
      </c>
      <c r="I30" s="45">
        <f>EnrlST!AJ30/('ST-Population'!C30+'ST-Population'!F30)%</f>
        <v>109.97156727402383</v>
      </c>
      <c r="J30" s="45">
        <f>EnrlST!AK30/('ST-Population'!D30+'ST-Population'!G30)%</f>
        <v>107.32572293949066</v>
      </c>
      <c r="K30" s="45">
        <f>EnrlST!AL30/('ST-Population'!E30+'ST-Population'!H30)%</f>
        <v>108.67990566744029</v>
      </c>
      <c r="L30" s="45">
        <f>EnrlST!AS30/'ST-Population'!I30%</f>
        <v>81.647441585329773</v>
      </c>
      <c r="M30" s="45">
        <f>EnrlST!AT30/'ST-Population'!J30%</f>
        <v>74.74739562935693</v>
      </c>
      <c r="N30" s="45">
        <f>EnrlST!AU30/'ST-Population'!K30%</f>
        <v>78.296755543722185</v>
      </c>
      <c r="O30" s="45">
        <f>EnrlST!AV30/('ST-Population'!C30+'ST-Population'!F30+'ST-Population'!I30)%</f>
        <v>104.3561119703289</v>
      </c>
      <c r="P30" s="45">
        <f>EnrlST!AW30/('ST-Population'!D30+'ST-Population'!G30+'ST-Population'!J30)%</f>
        <v>100.92018634736071</v>
      </c>
      <c r="Q30" s="45">
        <f>EnrlST!AX30/('ST-Population'!E30+'ST-Population'!H30+'ST-Population'!K30)%</f>
        <v>102.68049599315043</v>
      </c>
      <c r="R30" s="45">
        <f>EnrlST!BE30/'ST-Population'!L30%</f>
        <v>22.572950624155204</v>
      </c>
      <c r="S30" s="45">
        <f>EnrlST!BF30/'ST-Population'!M30%</f>
        <v>16.489685786404387</v>
      </c>
      <c r="T30" s="45">
        <f>EnrlST!BG30/'ST-Population'!N30%</f>
        <v>19.668827391340482</v>
      </c>
      <c r="U30" s="45">
        <f>(EnrlST!AS30+EnrlST!BE30)/('ST-Population'!L30+'ST-Population'!I30)%</f>
        <v>53.181870426420446</v>
      </c>
      <c r="V30" s="45">
        <f>(EnrlST!AT30+EnrlST!BF30)/('ST-Population'!M30+'ST-Population'!J30)%</f>
        <v>47.15328166226913</v>
      </c>
      <c r="W30" s="45">
        <f>(EnrlST!AU30+EnrlST!BG30)/('ST-Population'!N30+'ST-Population'!K30)%</f>
        <v>50.27801497309212</v>
      </c>
      <c r="X30" s="45">
        <f>EnrlST!BH30/('ST-Population'!C30+'ST-Population'!F30+'ST-Population'!I30+'ST-Population'!L30)%</f>
        <v>91.624737750877259</v>
      </c>
      <c r="Y30" s="45">
        <f>EnrlST!BI30/('ST-Population'!D30+'ST-Population'!G30+'ST-Population'!J30+'ST-Population'!M30)%</f>
        <v>88.227135033989128</v>
      </c>
      <c r="Z30" s="45">
        <f>EnrlST!BJ30/('ST-Population'!E30+'ST-Population'!H30+'ST-Population'!K30+'ST-Population'!N30)%</f>
        <v>89.973157436089878</v>
      </c>
    </row>
    <row r="31" spans="1:26" s="35" customFormat="1" ht="19.5" customHeight="1">
      <c r="A31" s="25">
        <v>26</v>
      </c>
      <c r="B31" s="26" t="s">
        <v>36</v>
      </c>
      <c r="C31" s="45">
        <f>EnrlST!U31/'ST-Population'!C31%</f>
        <v>119.75190513617879</v>
      </c>
      <c r="D31" s="45">
        <f>EnrlST!V31/'ST-Population'!D31%</f>
        <v>118.82462981183873</v>
      </c>
      <c r="E31" s="45">
        <f>EnrlST!W31/'ST-Population'!E31%</f>
        <v>119.30316497366442</v>
      </c>
      <c r="F31" s="45">
        <f>EnrlST!AG31/'ST-Population'!F31%</f>
        <v>75.73458408056284</v>
      </c>
      <c r="G31" s="45">
        <f>EnrlST!AH31/'ST-Population'!G31%</f>
        <v>78.400078331538239</v>
      </c>
      <c r="H31" s="45">
        <f>EnrlST!AI31/'ST-Population'!H31%</f>
        <v>77.025585089986478</v>
      </c>
      <c r="I31" s="45">
        <f>EnrlST!AJ31/('ST-Population'!C31+'ST-Population'!F31)%</f>
        <v>105.16898608349901</v>
      </c>
      <c r="J31" s="45">
        <f>EnrlST!AK31/('ST-Population'!D31+'ST-Population'!G31)%</f>
        <v>105.41749543332656</v>
      </c>
      <c r="K31" s="45">
        <f>EnrlST!AL31/('ST-Population'!E31+'ST-Population'!H31)%</f>
        <v>105.28928153172626</v>
      </c>
      <c r="L31" s="45">
        <f>EnrlST!AS31/'ST-Population'!I31%</f>
        <v>72.336129773383931</v>
      </c>
      <c r="M31" s="45">
        <f>EnrlST!AT31/'ST-Population'!J31%</f>
        <v>77.657775386271041</v>
      </c>
      <c r="N31" s="45">
        <f>EnrlST!AU31/'ST-Population'!K31%</f>
        <v>74.865284500867659</v>
      </c>
      <c r="O31" s="45">
        <f>EnrlST!AV31/('ST-Population'!C31+'ST-Population'!F31+'ST-Population'!I31)%</f>
        <v>99.274420348728214</v>
      </c>
      <c r="P31" s="45">
        <f>EnrlST!AW31/('ST-Population'!D31+'ST-Population'!G31+'ST-Population'!J31)%</f>
        <v>100.57643455121888</v>
      </c>
      <c r="Q31" s="45">
        <f>EnrlST!AX31/('ST-Population'!E31+'ST-Population'!H31+'ST-Population'!K31)%</f>
        <v>99.902652949680302</v>
      </c>
      <c r="R31" s="45">
        <f>EnrlST!BE31/'ST-Population'!L31%</f>
        <v>50.890839561967667</v>
      </c>
      <c r="S31" s="45">
        <f>EnrlST!BF31/'ST-Population'!M31%</f>
        <v>54.278495495066025</v>
      </c>
      <c r="T31" s="45">
        <f>EnrlST!BG31/'ST-Population'!N31%</f>
        <v>52.506308395280641</v>
      </c>
      <c r="U31" s="45">
        <f>(EnrlST!AS31+EnrlST!BE31)/('ST-Population'!L31+'ST-Population'!I31)%</f>
        <v>62.797889406443886</v>
      </c>
      <c r="V31" s="45">
        <f>(EnrlST!AT31+EnrlST!BF31)/('ST-Population'!M31+'ST-Population'!J31)%</f>
        <v>67.222044898393449</v>
      </c>
      <c r="W31" s="45">
        <f>(EnrlST!AU31+EnrlST!BG31)/('ST-Population'!N31+'ST-Population'!K31)%</f>
        <v>64.903680596349787</v>
      </c>
      <c r="X31" s="45">
        <f>EnrlST!BH31/('ST-Population'!C31+'ST-Population'!F31+'ST-Population'!I31+'ST-Population'!L31)%</f>
        <v>93.190982504835489</v>
      </c>
      <c r="Y31" s="45">
        <f>EnrlST!BI31/('ST-Population'!D31+'ST-Population'!G31+'ST-Population'!J31+'ST-Population'!M31)%</f>
        <v>94.869248398660162</v>
      </c>
      <c r="Z31" s="45">
        <f>EnrlST!BJ31/('ST-Population'!E31+'ST-Population'!H31+'ST-Population'!K31+'ST-Population'!N31)%</f>
        <v>93.999580964461259</v>
      </c>
    </row>
    <row r="32" spans="1:26" s="35" customFormat="1" ht="19.5" customHeight="1">
      <c r="A32" s="25">
        <v>27</v>
      </c>
      <c r="B32" s="26" t="s">
        <v>37</v>
      </c>
      <c r="C32" s="45">
        <f>EnrlST!U32/'ST-Population'!C32%</f>
        <v>94.926004228329802</v>
      </c>
      <c r="D32" s="45">
        <f>EnrlST!V32/'ST-Population'!D32%</f>
        <v>99.466685136445491</v>
      </c>
      <c r="E32" s="45">
        <f>EnrlST!W32/'ST-Population'!E32%</f>
        <v>97.107864345858147</v>
      </c>
      <c r="F32" s="45">
        <f>EnrlST!AG32/'ST-Population'!F32%</f>
        <v>82.272076372315041</v>
      </c>
      <c r="G32" s="45">
        <f>EnrlST!AH32/'ST-Population'!G32%</f>
        <v>89.797160243407717</v>
      </c>
      <c r="H32" s="45">
        <f>EnrlST!AI32/'ST-Population'!H32%</f>
        <v>85.920826161790018</v>
      </c>
      <c r="I32" s="45">
        <f>EnrlST!AJ32/('ST-Population'!C32+'ST-Population'!F32)%</f>
        <v>89.844349026222986</v>
      </c>
      <c r="J32" s="45">
        <f>EnrlST!AK32/('ST-Population'!D32+'ST-Population'!G32)%</f>
        <v>95.542843032348344</v>
      </c>
      <c r="K32" s="45">
        <f>EnrlST!AL32/('ST-Population'!E32+'ST-Population'!H32)%</f>
        <v>92.592592592592595</v>
      </c>
      <c r="L32" s="45">
        <f>EnrlST!AS32/'ST-Population'!I32%</f>
        <v>89.472985530333204</v>
      </c>
      <c r="M32" s="45">
        <f>EnrlST!AT32/'ST-Population'!J32%</f>
        <v>95.081514230450409</v>
      </c>
      <c r="N32" s="45">
        <f>EnrlST!AU32/'ST-Population'!K32%</f>
        <v>92.221244330106288</v>
      </c>
      <c r="O32" s="45">
        <f>EnrlST!AV32/('ST-Population'!C32+'ST-Population'!F32+'ST-Population'!I32)%</f>
        <v>89.7611327602106</v>
      </c>
      <c r="P32" s="45">
        <f>EnrlST!AW32/('ST-Population'!D32+'ST-Population'!G32+'ST-Population'!J32)%</f>
        <v>95.43696093353627</v>
      </c>
      <c r="Q32" s="45">
        <f>EnrlST!AX32/('ST-Population'!E32+'ST-Population'!H32+'ST-Population'!K32)%</f>
        <v>92.508403296855093</v>
      </c>
      <c r="R32" s="45">
        <f>EnrlST!BE32/'ST-Population'!L32%</f>
        <v>71.662125340599445</v>
      </c>
      <c r="S32" s="45">
        <f>EnrlST!BF32/'ST-Population'!M32%</f>
        <v>71.20600115406809</v>
      </c>
      <c r="T32" s="45">
        <f>EnrlST!BG32/'ST-Population'!N32%</f>
        <v>71.434735706580355</v>
      </c>
      <c r="U32" s="45">
        <f>(EnrlST!AS32+EnrlST!BE32)/('ST-Population'!L32+'ST-Population'!I32)%</f>
        <v>80.911347028815655</v>
      </c>
      <c r="V32" s="45">
        <f>(EnrlST!AT32+EnrlST!BF32)/('ST-Population'!M32+'ST-Population'!J32)%</f>
        <v>83.401552575864514</v>
      </c>
      <c r="W32" s="45">
        <f>(EnrlST!AU32+EnrlST!BG32)/('ST-Population'!N32+'ST-Population'!K32)%</f>
        <v>82.141860789510389</v>
      </c>
      <c r="X32" s="45">
        <f>EnrlST!BH32/('ST-Population'!C32+'ST-Population'!F32+'ST-Population'!I32+'ST-Population'!L32)%</f>
        <v>86.651884700665192</v>
      </c>
      <c r="Y32" s="45">
        <f>EnrlST!BI32/('ST-Population'!D32+'ST-Population'!G32+'ST-Population'!J32+'ST-Population'!M32)%</f>
        <v>91.070500155973789</v>
      </c>
      <c r="Z32" s="45">
        <f>EnrlST!BJ32/('ST-Population'!E32+'ST-Population'!H32+'ST-Population'!K32+'ST-Population'!N32)%</f>
        <v>88.80189228161602</v>
      </c>
    </row>
    <row r="33" spans="1:26" s="35" customFormat="1" ht="19.5" customHeight="1">
      <c r="A33" s="25">
        <v>28</v>
      </c>
      <c r="B33" s="26" t="s">
        <v>38</v>
      </c>
      <c r="C33" s="45">
        <f>EnrlST!U33/'ST-Population'!C33%</f>
        <v>134.86044401470008</v>
      </c>
      <c r="D33" s="45">
        <f>EnrlST!V33/'ST-Population'!D33%</f>
        <v>135.95166708810461</v>
      </c>
      <c r="E33" s="45">
        <f>EnrlST!W33/'ST-Population'!E33%</f>
        <v>135.39769968573873</v>
      </c>
      <c r="F33" s="45">
        <f>EnrlST!AG33/'ST-Population'!F33%</f>
        <v>81.534927213326711</v>
      </c>
      <c r="G33" s="45">
        <f>EnrlST!AH33/'ST-Population'!G33%</f>
        <v>81.871529869215948</v>
      </c>
      <c r="H33" s="45">
        <f>EnrlST!AI33/'ST-Population'!H33%</f>
        <v>81.700481334713885</v>
      </c>
      <c r="I33" s="45">
        <f>EnrlST!AJ33/('ST-Population'!C33+'ST-Population'!F33)%</f>
        <v>114.71940560774559</v>
      </c>
      <c r="J33" s="45">
        <f>EnrlST!AK33/('ST-Population'!D33+'ST-Population'!G33)%</f>
        <v>115.55124620088142</v>
      </c>
      <c r="K33" s="45">
        <f>EnrlST!AL33/('ST-Population'!E33+'ST-Population'!H33)%</f>
        <v>115.12879789370659</v>
      </c>
      <c r="L33" s="45">
        <f>EnrlST!AS33/'ST-Population'!I33%</f>
        <v>51.161463245148163</v>
      </c>
      <c r="M33" s="45">
        <f>EnrlST!AT33/'ST-Population'!J33%</f>
        <v>51.078689775742575</v>
      </c>
      <c r="N33" s="45">
        <f>EnrlST!AU33/'ST-Population'!K33%</f>
        <v>51.121529338727974</v>
      </c>
      <c r="O33" s="45">
        <f>EnrlST!AV33/('ST-Population'!C33+'ST-Population'!F33+'ST-Population'!I33)%</f>
        <v>101.46298369995635</v>
      </c>
      <c r="P33" s="45">
        <f>EnrlST!AW33/('ST-Population'!D33+'ST-Population'!G33+'ST-Population'!J33)%</f>
        <v>102.51276934066053</v>
      </c>
      <c r="Q33" s="45">
        <f>EnrlST!AX33/('ST-Population'!E33+'ST-Population'!H33+'ST-Population'!K33)%</f>
        <v>101.97754501158114</v>
      </c>
      <c r="R33" s="45">
        <f>EnrlST!BE33/'ST-Population'!L33%</f>
        <v>32.017940431322344</v>
      </c>
      <c r="S33" s="45">
        <f>EnrlST!BF33/'ST-Population'!M33%</f>
        <v>25.954858462258297</v>
      </c>
      <c r="T33" s="45">
        <f>EnrlST!BG33/'ST-Population'!N33%</f>
        <v>29.17968154807253</v>
      </c>
      <c r="U33" s="45">
        <f>(EnrlST!AS33+EnrlST!BE33)/('ST-Population'!L33+'ST-Population'!I33)%</f>
        <v>41.96745275920631</v>
      </c>
      <c r="V33" s="45">
        <f>(EnrlST!AT33+EnrlST!BF33)/('ST-Population'!M33+'ST-Population'!J33)%</f>
        <v>39.372310375552139</v>
      </c>
      <c r="W33" s="45">
        <f>(EnrlST!AU33+EnrlST!BG33)/('ST-Population'!N33+'ST-Population'!K33)%</f>
        <v>40.73303410200166</v>
      </c>
      <c r="X33" s="45">
        <f>EnrlST!BH33/('ST-Population'!C33+'ST-Population'!F33+'ST-Population'!I33+'ST-Population'!L33)%</f>
        <v>90.241323241791946</v>
      </c>
      <c r="Y33" s="45">
        <f>EnrlST!BI33/('ST-Population'!D33+'ST-Population'!G33+'ST-Population'!J33+'ST-Population'!M33)%</f>
        <v>91.030606843252627</v>
      </c>
      <c r="Z33" s="45">
        <f>EnrlST!BJ33/('ST-Population'!E33+'ST-Population'!H33+'ST-Population'!K33+'ST-Population'!N33)%</f>
        <v>90.625484953359077</v>
      </c>
    </row>
    <row r="34" spans="1:26" s="35" customFormat="1" ht="19.5" customHeight="1">
      <c r="A34" s="25">
        <v>29</v>
      </c>
      <c r="B34" s="26" t="s">
        <v>39</v>
      </c>
      <c r="C34" s="45">
        <f>EnrlST!U34/'ST-Population'!C34%</f>
        <v>105.89721988205561</v>
      </c>
      <c r="D34" s="45">
        <f>EnrlST!V34/'ST-Population'!D34%</f>
        <v>110.44776119402984</v>
      </c>
      <c r="E34" s="45">
        <f>EnrlST!W34/'ST-Population'!E34%</f>
        <v>108.05666223992917</v>
      </c>
      <c r="F34" s="45">
        <f>EnrlST!AG34/'ST-Population'!F34%</f>
        <v>113.60347322720695</v>
      </c>
      <c r="G34" s="45">
        <f>EnrlST!AH34/'ST-Population'!G34%</f>
        <v>117.52411575562701</v>
      </c>
      <c r="H34" s="45">
        <f>EnrlST!AI34/'ST-Population'!H34%</f>
        <v>115.46077684691545</v>
      </c>
      <c r="I34" s="45">
        <f>EnrlST!AJ34/('ST-Population'!C34+'ST-Population'!F34)%</f>
        <v>108.73269435569755</v>
      </c>
      <c r="J34" s="45">
        <f>EnrlST!AK34/('ST-Population'!D34+'ST-Population'!G34)%</f>
        <v>113.04604486422667</v>
      </c>
      <c r="K34" s="45">
        <f>EnrlST!AL34/('ST-Population'!E34+'ST-Population'!H34)%</f>
        <v>110.77827547592386</v>
      </c>
      <c r="L34" s="45">
        <f>EnrlST!AS34/'ST-Population'!I34%</f>
        <v>106.93641618497109</v>
      </c>
      <c r="M34" s="45">
        <f>EnrlST!AT34/'ST-Population'!J34%</f>
        <v>96.509240246406563</v>
      </c>
      <c r="N34" s="45">
        <f>EnrlST!AU34/'ST-Population'!K34%</f>
        <v>101.88866799204771</v>
      </c>
      <c r="O34" s="45">
        <f>EnrlST!AV34/('ST-Population'!C34+'ST-Population'!F34+'ST-Population'!I34)%</f>
        <v>108.34376303712975</v>
      </c>
      <c r="P34" s="45">
        <f>EnrlST!AW34/('ST-Population'!D34+'ST-Population'!G34+'ST-Population'!J34)%</f>
        <v>109.35350756533701</v>
      </c>
      <c r="Q34" s="45">
        <f>EnrlST!AX34/('ST-Population'!E34+'ST-Population'!H34+'ST-Population'!K34)%</f>
        <v>108.82481432940148</v>
      </c>
      <c r="R34" s="45">
        <f>EnrlST!BE34/'ST-Population'!L34%</f>
        <v>75.105485232067508</v>
      </c>
      <c r="S34" s="45">
        <f>EnrlST!BF34/'ST-Population'!M34%</f>
        <v>85.354691075514879</v>
      </c>
      <c r="T34" s="45">
        <f>EnrlST!BG34/'ST-Population'!N34%</f>
        <v>80.021953896816683</v>
      </c>
      <c r="U34" s="45">
        <f>(EnrlST!AS34+EnrlST!BE34)/('ST-Population'!L34+'ST-Population'!I34)%</f>
        <v>91.742195367573018</v>
      </c>
      <c r="V34" s="45">
        <f>(EnrlST!AT34+EnrlST!BF34)/('ST-Population'!M34+'ST-Population'!J34)%</f>
        <v>91.233766233766232</v>
      </c>
      <c r="W34" s="45">
        <f>(EnrlST!AU34+EnrlST!BG34)/('ST-Population'!N34+'ST-Population'!K34)%</f>
        <v>91.49713093375064</v>
      </c>
      <c r="X34" s="45">
        <f>EnrlST!BH34/('ST-Population'!C34+'ST-Population'!F34+'ST-Population'!I34+'ST-Population'!L34)%</f>
        <v>102.85614768373389</v>
      </c>
      <c r="Y34" s="45">
        <f>EnrlST!BI34/('ST-Population'!D34+'ST-Population'!G34+'ST-Population'!J34+'ST-Population'!M34)%</f>
        <v>105.3475935828877</v>
      </c>
      <c r="Z34" s="45">
        <f>EnrlST!BJ34/('ST-Population'!E34+'ST-Population'!H34+'ST-Population'!K34+'ST-Population'!N34)%</f>
        <v>104.04445254144653</v>
      </c>
    </row>
    <row r="35" spans="1:26" s="35" customFormat="1" ht="19.5" customHeight="1">
      <c r="A35" s="25">
        <v>30</v>
      </c>
      <c r="B35" s="26" t="s">
        <v>40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s="35" customFormat="1" ht="19.5" customHeight="1">
      <c r="A36" s="25">
        <v>31</v>
      </c>
      <c r="B36" s="26" t="s">
        <v>41</v>
      </c>
      <c r="C36" s="45">
        <f>EnrlST!U36/'ST-Population'!C36%</f>
        <v>114.87931034482759</v>
      </c>
      <c r="D36" s="45">
        <f>EnrlST!V36/'ST-Population'!D36%</f>
        <v>114.30763675753747</v>
      </c>
      <c r="E36" s="45">
        <f>EnrlST!W36/'ST-Population'!E36%</f>
        <v>114.60005291471911</v>
      </c>
      <c r="F36" s="45">
        <f>EnrlST!AG36/'ST-Population'!F36%</f>
        <v>105.16700749829585</v>
      </c>
      <c r="G36" s="45">
        <f>EnrlST!AH36/'ST-Population'!G36%</f>
        <v>95.78691802342189</v>
      </c>
      <c r="H36" s="45">
        <f>EnrlST!AI36/'ST-Population'!H36%</f>
        <v>100.58589663109437</v>
      </c>
      <c r="I36" s="45">
        <f>EnrlST!AJ36/('ST-Population'!C36+'ST-Population'!F36)%</f>
        <v>111.11697913916029</v>
      </c>
      <c r="J36" s="45">
        <f>EnrlST!AK36/('ST-Population'!D36+'ST-Population'!G36)%</f>
        <v>107.13495575221238</v>
      </c>
      <c r="K36" s="45">
        <f>EnrlST!AL36/('ST-Population'!E36+'ST-Population'!H36)%</f>
        <v>109.1719573146022</v>
      </c>
      <c r="L36" s="45">
        <f>EnrlST!AS36/'ST-Population'!I36%</f>
        <v>90.625737898465175</v>
      </c>
      <c r="M36" s="45">
        <f>EnrlST!AT36/'ST-Population'!J36%</f>
        <v>72.368085648738216</v>
      </c>
      <c r="N36" s="45">
        <f>EnrlST!AU36/'ST-Population'!K36%</f>
        <v>81.846040696249077</v>
      </c>
      <c r="O36" s="45">
        <f>EnrlST!AV36/('ST-Population'!C36+'ST-Population'!F36+'ST-Population'!I36)%</f>
        <v>107.37160120845923</v>
      </c>
      <c r="P36" s="45">
        <f>EnrlST!AW36/('ST-Population'!D36+'ST-Population'!G36+'ST-Population'!J36)%</f>
        <v>100.93623596782257</v>
      </c>
      <c r="Q36" s="45">
        <f>EnrlST!AX36/('ST-Population'!E36+'ST-Population'!H36+'ST-Population'!K36)%</f>
        <v>104.23704425209749</v>
      </c>
      <c r="R36" s="45">
        <f>EnrlST!BE36/'ST-Population'!L36%</f>
        <v>59.869494290375201</v>
      </c>
      <c r="S36" s="45">
        <f>EnrlST!BF36/'ST-Population'!M36%</f>
        <v>40.088235294117645</v>
      </c>
      <c r="T36" s="45">
        <f>EnrlST!BG36/'ST-Population'!N36%</f>
        <v>50.367335405481775</v>
      </c>
      <c r="U36" s="45">
        <f>(EnrlST!AS36+EnrlST!BE36)/('ST-Population'!L36+'ST-Population'!I36)%</f>
        <v>76.330089725767735</v>
      </c>
      <c r="V36" s="45">
        <f>(EnrlST!AT36+EnrlST!BF36)/('ST-Population'!M36+'ST-Population'!J36)%</f>
        <v>57.380854840912193</v>
      </c>
      <c r="W36" s="45">
        <f>(EnrlST!AU36+EnrlST!BG36)/('ST-Population'!N36+'ST-Population'!K36)%</f>
        <v>67.22236807561039</v>
      </c>
      <c r="X36" s="45">
        <f>EnrlST!BH36/('ST-Population'!C36+'ST-Population'!F36+'ST-Population'!I36+'ST-Population'!L36)%</f>
        <v>100.86412395709176</v>
      </c>
      <c r="Y36" s="45">
        <f>EnrlST!BI36/('ST-Population'!D36+'ST-Population'!G36+'ST-Population'!J36+'ST-Population'!M36)%</f>
        <v>92.792189898830841</v>
      </c>
      <c r="Z36" s="45">
        <f>EnrlST!BJ36/('ST-Population'!E36+'ST-Population'!H36+'ST-Population'!K36+'ST-Population'!N36)%</f>
        <v>96.939771487627027</v>
      </c>
    </row>
    <row r="37" spans="1:26" s="35" customFormat="1" ht="19.5" customHeight="1">
      <c r="A37" s="25">
        <v>32</v>
      </c>
      <c r="B37" s="26" t="s">
        <v>42</v>
      </c>
      <c r="C37" s="45">
        <f>EnrlST!U37/'ST-Population'!C37%</f>
        <v>126.37954239569314</v>
      </c>
      <c r="D37" s="45">
        <f>EnrlST!V37/'ST-Population'!D37%</f>
        <v>114.00832177531207</v>
      </c>
      <c r="E37" s="45">
        <f>EnrlST!W37/'ST-Population'!E37%</f>
        <v>120.28688524590163</v>
      </c>
      <c r="F37" s="45">
        <f>EnrlST!AG37/'ST-Population'!F37%</f>
        <v>117.53246753246754</v>
      </c>
      <c r="G37" s="45">
        <f>EnrlST!AH37/'ST-Population'!G37%</f>
        <v>118.24644549763033</v>
      </c>
      <c r="H37" s="45">
        <f>EnrlST!AI37/'ST-Population'!H37%</f>
        <v>117.87330316742081</v>
      </c>
      <c r="I37" s="45">
        <f>EnrlST!AJ37/('ST-Population'!C37+'ST-Population'!F37)%</f>
        <v>122.98755186721991</v>
      </c>
      <c r="J37" s="45">
        <f>EnrlST!AK37/('ST-Population'!D37+'ST-Population'!G37)%</f>
        <v>115.57305336832896</v>
      </c>
      <c r="K37" s="45">
        <f>EnrlST!AL37/('ST-Population'!E37+'ST-Population'!H37)%</f>
        <v>119.37819420783646</v>
      </c>
      <c r="L37" s="45">
        <f>EnrlST!AS37/'ST-Population'!I37%</f>
        <v>110.70234113712374</v>
      </c>
      <c r="M37" s="45">
        <f>EnrlST!AT37/'ST-Population'!J37%</f>
        <v>100.3448275862069</v>
      </c>
      <c r="N37" s="45">
        <f>EnrlST!AU37/'ST-Population'!K37%</f>
        <v>105.60271646859084</v>
      </c>
      <c r="O37" s="45">
        <f>EnrlST!AV37/('ST-Population'!C37+'ST-Population'!F37+'ST-Population'!I37)%</f>
        <v>120.54521276595746</v>
      </c>
      <c r="P37" s="45">
        <f>EnrlST!AW37/('ST-Population'!D37+'ST-Population'!G37+'ST-Population'!J37)%</f>
        <v>112.49127704117237</v>
      </c>
      <c r="Q37" s="45">
        <f>EnrlST!AX37/('ST-Population'!E37+'ST-Population'!H37+'ST-Population'!K37)%</f>
        <v>116.61559414368402</v>
      </c>
      <c r="R37" s="45">
        <f>EnrlST!BE37/'ST-Population'!L37%</f>
        <v>66.753926701570677</v>
      </c>
      <c r="S37" s="45">
        <f>EnrlST!BF37/'ST-Population'!M37%</f>
        <v>65.175718849840251</v>
      </c>
      <c r="T37" s="45">
        <f>EnrlST!BG37/'ST-Population'!N37%</f>
        <v>66.043165467625897</v>
      </c>
      <c r="U37" s="45">
        <f>(EnrlST!AS37+EnrlST!BE37)/('ST-Population'!L37+'ST-Population'!I37)%</f>
        <v>86.049926578560942</v>
      </c>
      <c r="V37" s="45">
        <f>(EnrlST!AT37+EnrlST!BF37)/('ST-Population'!M37+'ST-Population'!J37)%</f>
        <v>82.089552238805965</v>
      </c>
      <c r="W37" s="45">
        <f>(EnrlST!AU37+EnrlST!BG37)/('ST-Population'!N37+'ST-Population'!K37)%</f>
        <v>84.190031152647975</v>
      </c>
      <c r="X37" s="45">
        <f>EnrlST!BH37/('ST-Population'!C37+'ST-Population'!F37+'ST-Population'!I37+'ST-Population'!L37)%</f>
        <v>109.65005302226936</v>
      </c>
      <c r="Y37" s="45">
        <f>EnrlST!BI37/('ST-Population'!D37+'ST-Population'!G37+'ST-Population'!J37+'ST-Population'!M37)%</f>
        <v>104.00916380297824</v>
      </c>
      <c r="Z37" s="45">
        <f>EnrlST!BJ37/('ST-Population'!E37+'ST-Population'!H37+'ST-Population'!K37+'ST-Population'!N37)%</f>
        <v>106.93832599118943</v>
      </c>
    </row>
    <row r="38" spans="1:26" s="35" customFormat="1" ht="19.5" customHeight="1">
      <c r="A38" s="25">
        <v>33</v>
      </c>
      <c r="B38" s="26" t="s">
        <v>43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s="35" customFormat="1" ht="19.5" customHeight="1">
      <c r="A39" s="25">
        <v>34</v>
      </c>
      <c r="B39" s="26" t="s">
        <v>44</v>
      </c>
      <c r="C39" s="45">
        <f>EnrlST!U39/'ST-Population'!C39%</f>
        <v>107.43292240754171</v>
      </c>
      <c r="D39" s="45">
        <f>EnrlST!V39/'ST-Population'!D39%</f>
        <v>103.04719435154217</v>
      </c>
      <c r="E39" s="45">
        <f>EnrlST!W39/'ST-Population'!E39%</f>
        <v>105.26702147182969</v>
      </c>
      <c r="F39" s="45">
        <f>EnrlST!AG39/'ST-Population'!F39%</f>
        <v>116.75943104514532</v>
      </c>
      <c r="G39" s="45">
        <f>EnrlST!AH39/'ST-Population'!G39%</f>
        <v>120.58346839546191</v>
      </c>
      <c r="H39" s="45">
        <f>EnrlST!AI39/'ST-Population'!H39%</f>
        <v>118.800461361015</v>
      </c>
      <c r="I39" s="45">
        <f>EnrlST!AJ39/('ST-Population'!C39+'ST-Population'!F39)%</f>
        <v>110.88</v>
      </c>
      <c r="J39" s="45">
        <f>EnrlST!AK39/('ST-Population'!D39+'ST-Population'!G39)%</f>
        <v>110.19374724790841</v>
      </c>
      <c r="K39" s="45">
        <f>EnrlST!AL39/('ST-Population'!E39+'ST-Population'!H39)%</f>
        <v>110.53044745990803</v>
      </c>
      <c r="L39" s="45">
        <f>EnrlST!AS39/'ST-Population'!I39%</f>
        <v>119.67361740707163</v>
      </c>
      <c r="M39" s="45">
        <f>EnrlST!AT39/'ST-Population'!J39%</f>
        <v>104.10714285714286</v>
      </c>
      <c r="N39" s="45">
        <f>EnrlST!AU39/'ST-Population'!K39%</f>
        <v>111.83085919928025</v>
      </c>
      <c r="O39" s="45">
        <f>EnrlST!AV39/('ST-Population'!C39+'ST-Population'!F39+'ST-Population'!I39)%</f>
        <v>112.65060240963855</v>
      </c>
      <c r="P39" s="45">
        <f>EnrlST!AW39/('ST-Population'!D39+'ST-Population'!G39+'ST-Population'!J39)%</f>
        <v>108.9897562698693</v>
      </c>
      <c r="Q39" s="45">
        <f>EnrlST!AX39/('ST-Population'!E39+'ST-Population'!H39+'ST-Population'!K39)%</f>
        <v>110.78994614003589</v>
      </c>
      <c r="R39" s="45">
        <f>EnrlST!BE39/'ST-Population'!L39%</f>
        <v>102.74881516587676</v>
      </c>
      <c r="S39" s="45">
        <f>EnrlST!BF39/'ST-Population'!M39%</f>
        <v>98.114824335904032</v>
      </c>
      <c r="T39" s="45">
        <f>EnrlST!BG39/'ST-Population'!N39%</f>
        <v>100.31503150315032</v>
      </c>
      <c r="U39" s="45">
        <f>(EnrlST!AS39+EnrlST!BE39)/('ST-Population'!L39+'ST-Population'!I39)%</f>
        <v>111.39944392956443</v>
      </c>
      <c r="V39" s="45">
        <f>(EnrlST!AT39+EnrlST!BF39)/('ST-Population'!M39+'ST-Population'!J39)%</f>
        <v>101.04940970703979</v>
      </c>
      <c r="W39" s="45">
        <f>(EnrlST!AU39+EnrlST!BG39)/('ST-Population'!N39+'ST-Population'!K39)%</f>
        <v>106.07424071991001</v>
      </c>
      <c r="X39" s="45">
        <f>EnrlST!BH39/('ST-Population'!C39+'ST-Population'!F39+'ST-Population'!I39+'ST-Population'!L39)%</f>
        <v>111.05158426450329</v>
      </c>
      <c r="Y39" s="45">
        <f>EnrlST!BI39/('ST-Population'!D39+'ST-Population'!G39+'ST-Population'!J39+'ST-Population'!M39)%</f>
        <v>107.13135158881241</v>
      </c>
      <c r="Z39" s="45">
        <f>EnrlST!BJ39/('ST-Population'!E39+'ST-Population'!H39+'ST-Population'!K39+'ST-Population'!N39)%</f>
        <v>109.04804669959587</v>
      </c>
    </row>
    <row r="40" spans="1:26" s="35" customFormat="1" ht="19.5" customHeight="1">
      <c r="A40" s="25">
        <v>35</v>
      </c>
      <c r="B40" s="26" t="s">
        <v>45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s="87" customFormat="1" ht="19.5" customHeight="1">
      <c r="A41" s="286" t="s">
        <v>46</v>
      </c>
      <c r="B41" s="286"/>
      <c r="C41" s="92">
        <f>EnrlST!U41/'ST-Population'!C41%</f>
        <v>117.83413119072142</v>
      </c>
      <c r="D41" s="92">
        <f>EnrlST!V41/'ST-Population'!D41%</f>
        <v>115.60443693885691</v>
      </c>
      <c r="E41" s="92">
        <f>EnrlST!W41/'ST-Population'!E41%</f>
        <v>116.74134215207512</v>
      </c>
      <c r="F41" s="92">
        <f>EnrlST!AG41/'ST-Population'!F41%</f>
        <v>76.794326495443457</v>
      </c>
      <c r="G41" s="92">
        <f>EnrlST!AH41/'ST-Population'!G41%</f>
        <v>74.081422623891385</v>
      </c>
      <c r="H41" s="92">
        <f>EnrlST!AI41/'ST-Population'!H41%</f>
        <v>75.465772241887549</v>
      </c>
      <c r="I41" s="92">
        <f>EnrlST!AJ41/('ST-Population'!C41+'ST-Population'!F41)%</f>
        <v>102.98252025150992</v>
      </c>
      <c r="J41" s="92">
        <f>EnrlST!AK41/('ST-Population'!D41+'ST-Population'!G41)%</f>
        <v>100.59293915825862</v>
      </c>
      <c r="K41" s="92">
        <f>EnrlST!AL41/('ST-Population'!E41+'ST-Population'!H41)%</f>
        <v>101.81170701198471</v>
      </c>
      <c r="L41" s="92">
        <f>EnrlST!AS41/'ST-Population'!I41%</f>
        <v>56.749707382033627</v>
      </c>
      <c r="M41" s="92">
        <f>EnrlST!AT41/'ST-Population'!J41%</f>
        <v>50.602148361260099</v>
      </c>
      <c r="N41" s="92">
        <f>EnrlST!AU41/'ST-Population'!K41%</f>
        <v>53.773030764253853</v>
      </c>
      <c r="O41" s="92">
        <f>EnrlST!AV41/('ST-Population'!C41+'ST-Population'!F41+'ST-Population'!I41)%</f>
        <v>94.27641211821566</v>
      </c>
      <c r="P41" s="92">
        <f>EnrlST!AW41/('ST-Population'!D41+'ST-Population'!G41+'ST-Population'!J41)%</f>
        <v>91.354108345994362</v>
      </c>
      <c r="Q41" s="92">
        <f>EnrlST!AX41/('ST-Population'!E41+'ST-Population'!H41+'ST-Population'!K41)%</f>
        <v>92.847724544259094</v>
      </c>
      <c r="R41" s="92">
        <f>EnrlST!BE41/'ST-Population'!L41%</f>
        <v>35.370399595909397</v>
      </c>
      <c r="S41" s="92">
        <f>EnrlST!BF41/'ST-Population'!M41%</f>
        <v>29.049395099722883</v>
      </c>
      <c r="T41" s="92">
        <f>EnrlST!BG41/'ST-Population'!N41%</f>
        <v>32.329989406819223</v>
      </c>
      <c r="U41" s="92">
        <f>(EnrlST!AS41+EnrlST!BE41)/('ST-Population'!L41+'ST-Population'!I41)%</f>
        <v>46.880958438538421</v>
      </c>
      <c r="V41" s="92">
        <f>(EnrlST!AT41+EnrlST!BF41)/('ST-Population'!M41+'ST-Population'!J41)%</f>
        <v>40.722022876973099</v>
      </c>
      <c r="W41" s="92">
        <f>(EnrlST!AU41+EnrlST!BG41)/('ST-Population'!N41+'ST-Population'!K41)%</f>
        <v>43.907850474354611</v>
      </c>
      <c r="X41" s="92">
        <f>EnrlST!BH41/('ST-Population'!C41+'ST-Population'!F41+'ST-Population'!I41+'ST-Population'!L41)%</f>
        <v>86.088025381814433</v>
      </c>
      <c r="Y41" s="92">
        <f>EnrlST!BI41/('ST-Population'!D41+'ST-Population'!G41+'ST-Population'!J41+'ST-Population'!M41)%</f>
        <v>82.926152015245592</v>
      </c>
      <c r="Z41" s="92">
        <f>EnrlST!BJ41/('ST-Population'!E41+'ST-Population'!H41+'ST-Population'!K41+'ST-Population'!N41)%</f>
        <v>84.545636675188106</v>
      </c>
    </row>
  </sheetData>
  <mergeCells count="11">
    <mergeCell ref="O3:Q3"/>
    <mergeCell ref="R3:T3"/>
    <mergeCell ref="U3:W3"/>
    <mergeCell ref="X3:Z3"/>
    <mergeCell ref="A41:B41"/>
    <mergeCell ref="A3:A4"/>
    <mergeCell ref="B3:B4"/>
    <mergeCell ref="C3:E3"/>
    <mergeCell ref="F3:H3"/>
    <mergeCell ref="I3:K3"/>
    <mergeCell ref="L3:N3"/>
  </mergeCells>
  <printOptions horizontalCentered="1"/>
  <pageMargins left="0.2" right="0.22" top="0.44" bottom="0.59" header="0.2" footer="0.33"/>
  <pageSetup paperSize="9" scale="98" firstPageNumber="56" orientation="portrait" useFirstPageNumber="1" r:id="rId1"/>
  <headerFooter alignWithMargins="0">
    <oddFooter>&amp;LSTATISTICS OF SCHOOL EDUCATION 2011-12&amp;R&amp;P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K64"/>
  <sheetViews>
    <sheetView view="pageBreakPreview" zoomScaleSheetLayoutView="100" workbookViewId="0">
      <selection activeCell="E40" sqref="E40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31" customFormat="1" ht="24.75" customHeight="1">
      <c r="A1" s="29"/>
      <c r="B1" s="30"/>
      <c r="C1" s="23" t="s">
        <v>140</v>
      </c>
      <c r="D1" s="23"/>
      <c r="E1" s="23"/>
      <c r="F1" s="23"/>
      <c r="G1" s="23"/>
      <c r="H1" s="23"/>
      <c r="I1" s="23"/>
      <c r="J1" s="23"/>
    </row>
    <row r="2" spans="1:10" ht="15.75" customHeight="1">
      <c r="A2" s="24"/>
      <c r="B2" s="24"/>
      <c r="C2" s="139" t="s">
        <v>81</v>
      </c>
      <c r="D2" s="32"/>
      <c r="E2" s="32"/>
      <c r="F2" s="32"/>
      <c r="G2" s="32"/>
      <c r="H2" s="32"/>
      <c r="I2" s="32"/>
      <c r="J2" s="32"/>
    </row>
    <row r="3" spans="1:10" s="33" customFormat="1" ht="37.5" customHeight="1">
      <c r="A3" s="64" t="s">
        <v>67</v>
      </c>
      <c r="B3" s="64" t="s">
        <v>65</v>
      </c>
      <c r="C3" s="66" t="s">
        <v>118</v>
      </c>
      <c r="D3" s="66" t="s">
        <v>112</v>
      </c>
      <c r="E3" s="66" t="s">
        <v>119</v>
      </c>
      <c r="F3" s="66" t="s">
        <v>113</v>
      </c>
      <c r="G3" s="66" t="s">
        <v>114</v>
      </c>
      <c r="H3" s="66" t="s">
        <v>115</v>
      </c>
      <c r="I3" s="66" t="s">
        <v>116</v>
      </c>
      <c r="J3" s="64" t="s">
        <v>117</v>
      </c>
    </row>
    <row r="4" spans="1:10" s="34" customFormat="1" ht="13.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</row>
    <row r="5" spans="1:10" s="35" customFormat="1" ht="19.5" customHeight="1">
      <c r="A5" s="25">
        <v>1</v>
      </c>
      <c r="B5" s="26" t="s">
        <v>16</v>
      </c>
      <c r="C5" s="42">
        <f>IF(GERAll!D6=0,"",ROUND(GERAll!D6/GERAll!C6,2))</f>
        <v>1.02</v>
      </c>
      <c r="D5" s="42">
        <f>IF(GERAll!G6=0,"",ROUND(GERAll!G6/GERAll!F6,2))</f>
        <v>1.03</v>
      </c>
      <c r="E5" s="42">
        <f>IF(GERAll!J6=0,"",ROUND(GERAll!J6/GERAll!I6,2))</f>
        <v>1.02</v>
      </c>
      <c r="F5" s="42">
        <f>IF(GERAll!M6=0,"",ROUND(GERAll!M6/GERAll!L6,2))</f>
        <v>1.04</v>
      </c>
      <c r="G5" s="42">
        <f>IF(GERAll!P6=0,"",ROUND(GERAll!P6/GERAll!O6,2))</f>
        <v>1.02</v>
      </c>
      <c r="H5" s="42">
        <f>IF(GERAll!S6=0,"",ROUND(GERAll!S6/GERAll!R6,2))</f>
        <v>0.96</v>
      </c>
      <c r="I5" s="42">
        <f>IF(GERAll!V6=0,"",ROUND(GERAll!V6/GERAll!U6,2))</f>
        <v>1.01</v>
      </c>
      <c r="J5" s="42">
        <f>IF(GERAll!Y6=0,"",ROUND(GERAll!Y6/GERAll!X6,2))</f>
        <v>1.02</v>
      </c>
    </row>
    <row r="6" spans="1:10" s="35" customFormat="1" ht="19.5" customHeight="1">
      <c r="A6" s="25">
        <v>2</v>
      </c>
      <c r="B6" s="26" t="s">
        <v>17</v>
      </c>
      <c r="C6" s="42">
        <f>IF(GERAll!D7=0,"",ROUND(GERAll!D7/GERAll!C7,2))</f>
        <v>0.96</v>
      </c>
      <c r="D6" s="42">
        <f>IF(GERAll!G7=0,"",ROUND(GERAll!G7/GERAll!F7,2))</f>
        <v>0.97</v>
      </c>
      <c r="E6" s="42">
        <f>IF(GERAll!J7=0,"",ROUND(GERAll!J7/GERAll!I7,2))</f>
        <v>0.96</v>
      </c>
      <c r="F6" s="42">
        <f>IF(GERAll!M7=0,"",ROUND(GERAll!M7/GERAll!L7,2))</f>
        <v>0.91</v>
      </c>
      <c r="G6" s="42">
        <f>IF(GERAll!P7=0,"",ROUND(GERAll!P7/GERAll!O7,2))</f>
        <v>0.95</v>
      </c>
      <c r="H6" s="42">
        <f>IF(GERAll!S7=0,"",ROUND(GERAll!S7/GERAll!R7,2))</f>
        <v>0.91</v>
      </c>
      <c r="I6" s="42">
        <f>IF(GERAll!V7=0,"",ROUND(GERAll!V7/GERAll!U7,2))</f>
        <v>0.91</v>
      </c>
      <c r="J6" s="42">
        <f>IF(GERAll!Y7=0,"",ROUND(GERAll!Y7/GERAll!X7,2))</f>
        <v>0.95</v>
      </c>
    </row>
    <row r="7" spans="1:10" s="35" customFormat="1" ht="19.5" customHeight="1">
      <c r="A7" s="25">
        <v>3</v>
      </c>
      <c r="B7" s="26" t="s">
        <v>48</v>
      </c>
      <c r="C7" s="42">
        <f>IF(GERAll!D8=0,"",ROUND(GERAll!D8/GERAll!C8,2))</f>
        <v>1.04</v>
      </c>
      <c r="D7" s="42">
        <f>IF(GERAll!G8=0,"",ROUND(GERAll!G8/GERAll!F8,2))</f>
        <v>1.04</v>
      </c>
      <c r="E7" s="42">
        <f>IF(GERAll!J8=0,"",ROUND(GERAll!J8/GERAll!I8,2))</f>
        <v>1.04</v>
      </c>
      <c r="F7" s="42">
        <f>IF(GERAll!M8=0,"",ROUND(GERAll!M8/GERAll!L8,2))</f>
        <v>1.18</v>
      </c>
      <c r="G7" s="42">
        <f>IF(GERAll!P8=0,"",ROUND(GERAll!P8/GERAll!O8,2))</f>
        <v>1.06</v>
      </c>
      <c r="H7" s="42">
        <f>IF(GERAll!S8=0,"",ROUND(GERAll!S8/GERAll!R8,2))</f>
        <v>1.1000000000000001</v>
      </c>
      <c r="I7" s="42">
        <f>IF(GERAll!V8=0,"",ROUND(GERAll!V8/GERAll!U8,2))</f>
        <v>1.19</v>
      </c>
      <c r="J7" s="42">
        <f>IF(GERAll!Y8=0,"",ROUND(GERAll!Y8/GERAll!X8,2))</f>
        <v>1.08</v>
      </c>
    </row>
    <row r="8" spans="1:10" s="35" customFormat="1" ht="19.5" customHeight="1">
      <c r="A8" s="25">
        <v>4</v>
      </c>
      <c r="B8" s="26" t="s">
        <v>18</v>
      </c>
      <c r="C8" s="42">
        <f>IF(GERAll!D9=0,"",ROUND(GERAll!D9/GERAll!C9,2))</f>
        <v>0.98</v>
      </c>
      <c r="D8" s="42">
        <f>IF(GERAll!G9=0,"",ROUND(GERAll!G9/GERAll!F9,2))</f>
        <v>0.96</v>
      </c>
      <c r="E8" s="42">
        <f>IF(GERAll!J9=0,"",ROUND(GERAll!J9/GERAll!I9,2))</f>
        <v>0.97</v>
      </c>
      <c r="F8" s="42">
        <f>IF(GERAll!M9=0,"",ROUND(GERAll!M9/GERAll!L9,2))</f>
        <v>0.93</v>
      </c>
      <c r="G8" s="42">
        <f>IF(GERAll!P9=0,"",ROUND(GERAll!P9/GERAll!O9,2))</f>
        <v>0.98</v>
      </c>
      <c r="H8" s="42">
        <f>IF(GERAll!S9=0,"",ROUND(GERAll!S9/GERAll!R9,2))</f>
        <v>0.9</v>
      </c>
      <c r="I8" s="42">
        <f>IF(GERAll!V9=0,"",ROUND(GERAll!V9/GERAll!U9,2))</f>
        <v>0.93</v>
      </c>
      <c r="J8" s="42">
        <f>IF(GERAll!Y9=0,"",ROUND(GERAll!Y9/GERAll!X9,2))</f>
        <v>0.98</v>
      </c>
    </row>
    <row r="9" spans="1:10" s="35" customFormat="1" ht="19.5" customHeight="1">
      <c r="A9" s="25">
        <v>5</v>
      </c>
      <c r="B9" s="28" t="s">
        <v>19</v>
      </c>
      <c r="C9" s="42">
        <f>IF(GERAll!D10=0,"",ROUND(GERAll!D10/GERAll!C10,2))</f>
        <v>0.97</v>
      </c>
      <c r="D9" s="42">
        <f>IF(GERAll!G10=0,"",ROUND(GERAll!G10/GERAll!F10,2))</f>
        <v>0.95</v>
      </c>
      <c r="E9" s="42">
        <f>IF(GERAll!J10=0,"",ROUND(GERAll!J10/GERAll!I10,2))</f>
        <v>0.96</v>
      </c>
      <c r="F9" s="42">
        <f>IF(GERAll!M10=0,"",ROUND(GERAll!M10/GERAll!L10,2))</f>
        <v>0.95</v>
      </c>
      <c r="G9" s="42">
        <f>IF(GERAll!P10=0,"",ROUND(GERAll!P10/GERAll!O10,2))</f>
        <v>0.96</v>
      </c>
      <c r="H9" s="42">
        <f>IF(GERAll!S10=0,"",ROUND(GERAll!S10/GERAll!R10,2))</f>
        <v>0.87</v>
      </c>
      <c r="I9" s="42">
        <f>IF(GERAll!V10=0,"",ROUND(GERAll!V10/GERAll!U10,2))</f>
        <v>0.93</v>
      </c>
      <c r="J9" s="42">
        <f>IF(GERAll!Y10=0,"",ROUND(GERAll!Y10/GERAll!X10,2))</f>
        <v>0.96</v>
      </c>
    </row>
    <row r="10" spans="1:10" s="35" customFormat="1" ht="19.5" customHeight="1">
      <c r="A10" s="25">
        <v>6</v>
      </c>
      <c r="B10" s="26" t="s">
        <v>20</v>
      </c>
      <c r="C10" s="42">
        <f>IF(GERAll!D11=0,"",ROUND(GERAll!D11/GERAll!C11,2))</f>
        <v>0.97</v>
      </c>
      <c r="D10" s="42">
        <f>IF(GERAll!G11=0,"",ROUND(GERAll!G11/GERAll!F11,2))</f>
        <v>0.94</v>
      </c>
      <c r="E10" s="42">
        <f>IF(GERAll!J11=0,"",ROUND(GERAll!J11/GERAll!I11,2))</f>
        <v>0.96</v>
      </c>
      <c r="F10" s="42">
        <f>IF(GERAll!M11=0,"",ROUND(GERAll!M11/GERAll!L11,2))</f>
        <v>0.96</v>
      </c>
      <c r="G10" s="42">
        <f>IF(GERAll!P11=0,"",ROUND(GERAll!P11/GERAll!O11,2))</f>
        <v>0.96</v>
      </c>
      <c r="H10" s="42">
        <f>IF(GERAll!S11=0,"",ROUND(GERAll!S11/GERAll!R11,2))</f>
        <v>1.06</v>
      </c>
      <c r="I10" s="42">
        <f>IF(GERAll!V11=0,"",ROUND(GERAll!V11/GERAll!U11,2))</f>
        <v>1</v>
      </c>
      <c r="J10" s="42">
        <f>IF(GERAll!Y11=0,"",ROUND(GERAll!Y11/GERAll!X11,2))</f>
        <v>0.97</v>
      </c>
    </row>
    <row r="11" spans="1:10" s="35" customFormat="1" ht="19.5" customHeight="1">
      <c r="A11" s="25">
        <v>7</v>
      </c>
      <c r="B11" s="26" t="s">
        <v>21</v>
      </c>
      <c r="C11" s="42">
        <f>IF(GERAll!D12=0,"",ROUND(GERAll!D12/GERAll!C12,2))</f>
        <v>1.01</v>
      </c>
      <c r="D11" s="42">
        <f>IF(GERAll!G12=0,"",ROUND(GERAll!G12/GERAll!F12,2))</f>
        <v>0.93</v>
      </c>
      <c r="E11" s="42">
        <f>IF(GERAll!J12=0,"",ROUND(GERAll!J12/GERAll!I12,2))</f>
        <v>0.98</v>
      </c>
      <c r="F11" s="42">
        <f>IF(GERAll!M12=0,"",ROUND(GERAll!M12/GERAll!L12,2))</f>
        <v>0.82</v>
      </c>
      <c r="G11" s="42">
        <f>IF(GERAll!P12=0,"",ROUND(GERAll!P12/GERAll!O12,2))</f>
        <v>0.96</v>
      </c>
      <c r="H11" s="42">
        <f>IF(GERAll!S12=0,"",ROUND(GERAll!S12/GERAll!R12,2))</f>
        <v>0.82</v>
      </c>
      <c r="I11" s="42">
        <f>IF(GERAll!V12=0,"",ROUND(GERAll!V12/GERAll!U12,2))</f>
        <v>0.82</v>
      </c>
      <c r="J11" s="42">
        <f>IF(GERAll!Y12=0,"",ROUND(GERAll!Y12/GERAll!X12,2))</f>
        <v>0.95</v>
      </c>
    </row>
    <row r="12" spans="1:10" s="35" customFormat="1" ht="19.5" customHeight="1">
      <c r="A12" s="25">
        <v>8</v>
      </c>
      <c r="B12" s="26" t="s">
        <v>22</v>
      </c>
      <c r="C12" s="42">
        <f>IF(GERAll!D13=0,"",ROUND(GERAll!D13/GERAll!C13,2))</f>
        <v>1.0900000000000001</v>
      </c>
      <c r="D12" s="42">
        <f>IF(GERAll!G13=0,"",ROUND(GERAll!G13/GERAll!F13,2))</f>
        <v>1.0900000000000001</v>
      </c>
      <c r="E12" s="42">
        <f>IF(GERAll!J13=0,"",ROUND(GERAll!J13/GERAll!I13,2))</f>
        <v>1.0900000000000001</v>
      </c>
      <c r="F12" s="42">
        <f>IF(GERAll!M13=0,"",ROUND(GERAll!M13/GERAll!L13,2))</f>
        <v>1.08</v>
      </c>
      <c r="G12" s="42">
        <f>IF(GERAll!P13=0,"",ROUND(GERAll!P13/GERAll!O13,2))</f>
        <v>1.0900000000000001</v>
      </c>
      <c r="H12" s="42">
        <f>IF(GERAll!S13=0,"",ROUND(GERAll!S13/GERAll!R13,2))</f>
        <v>1.03</v>
      </c>
      <c r="I12" s="42">
        <f>IF(GERAll!V13=0,"",ROUND(GERAll!V13/GERAll!U13,2))</f>
        <v>1.06</v>
      </c>
      <c r="J12" s="42">
        <f>IF(GERAll!Y13=0,"",ROUND(GERAll!Y13/GERAll!X13,2))</f>
        <v>1.08</v>
      </c>
    </row>
    <row r="13" spans="1:10" s="35" customFormat="1" ht="19.5" customHeight="1">
      <c r="A13" s="25">
        <v>9</v>
      </c>
      <c r="B13" s="26" t="s">
        <v>23</v>
      </c>
      <c r="C13" s="42">
        <f>IF(GERAll!D14=0,"",ROUND(GERAll!D14/GERAll!C14,2))</f>
        <v>1.01</v>
      </c>
      <c r="D13" s="42">
        <f>IF(GERAll!G14=0,"",ROUND(GERAll!G14/GERAll!F14,2))</f>
        <v>0.99</v>
      </c>
      <c r="E13" s="42">
        <f>IF(GERAll!J14=0,"",ROUND(GERAll!J14/GERAll!I14,2))</f>
        <v>1</v>
      </c>
      <c r="F13" s="42">
        <f>IF(GERAll!M14=0,"",ROUND(GERAll!M14/GERAll!L14,2))</f>
        <v>1</v>
      </c>
      <c r="G13" s="42">
        <f>IF(GERAll!P14=0,"",ROUND(GERAll!P14/GERAll!O14,2))</f>
        <v>1</v>
      </c>
      <c r="H13" s="42">
        <f>IF(GERAll!S14=0,"",ROUND(GERAll!S14/GERAll!R14,2))</f>
        <v>1.02</v>
      </c>
      <c r="I13" s="42">
        <f>IF(GERAll!V14=0,"",ROUND(GERAll!V14/GERAll!U14,2))</f>
        <v>1</v>
      </c>
      <c r="J13" s="42">
        <f>IF(GERAll!Y14=0,"",ROUND(GERAll!Y14/GERAll!X14,2))</f>
        <v>1</v>
      </c>
    </row>
    <row r="14" spans="1:10" s="35" customFormat="1" ht="19.5" customHeight="1">
      <c r="A14" s="25">
        <v>10</v>
      </c>
      <c r="B14" s="26" t="s">
        <v>24</v>
      </c>
      <c r="C14" s="42">
        <f>IF(GERAll!D15=0,"",ROUND(GERAll!D15/GERAll!C15,2))</f>
        <v>1.04</v>
      </c>
      <c r="D14" s="42">
        <f>IF(GERAll!G15=0,"",ROUND(GERAll!G15/GERAll!F15,2))</f>
        <v>0.98</v>
      </c>
      <c r="E14" s="42">
        <f>IF(GERAll!J15=0,"",ROUND(GERAll!J15/GERAll!I15,2))</f>
        <v>1.02</v>
      </c>
      <c r="F14" s="42">
        <f>IF(GERAll!M15=0,"",ROUND(GERAll!M15/GERAll!L15,2))</f>
        <v>0.94</v>
      </c>
      <c r="G14" s="42">
        <f>IF(GERAll!P15=0,"",ROUND(GERAll!P15/GERAll!O15,2))</f>
        <v>1</v>
      </c>
      <c r="H14" s="42">
        <f>IF(GERAll!S15=0,"",ROUND(GERAll!S15/GERAll!R15,2))</f>
        <v>0.95</v>
      </c>
      <c r="I14" s="42">
        <f>IF(GERAll!V15=0,"",ROUND(GERAll!V15/GERAll!U15,2))</f>
        <v>0.94</v>
      </c>
      <c r="J14" s="42">
        <f>IF(GERAll!Y15=0,"",ROUND(GERAll!Y15/GERAll!X15,2))</f>
        <v>1</v>
      </c>
    </row>
    <row r="15" spans="1:10" s="35" customFormat="1" ht="19.5" customHeight="1">
      <c r="A15" s="25">
        <v>11</v>
      </c>
      <c r="B15" s="26" t="s">
        <v>52</v>
      </c>
      <c r="C15" s="42">
        <f>IF(GERAll!D16=0,"",ROUND(GERAll!D16/GERAll!C16,2))</f>
        <v>1.02</v>
      </c>
      <c r="D15" s="42">
        <f>IF(GERAll!G16=0,"",ROUND(GERAll!G16/GERAll!F16,2))</f>
        <v>1.02</v>
      </c>
      <c r="E15" s="42">
        <f>IF(GERAll!J16=0,"",ROUND(GERAll!J16/GERAll!I16,2))</f>
        <v>1.02</v>
      </c>
      <c r="F15" s="42">
        <f>IF(GERAll!M16=0,"",ROUND(GERAll!M16/GERAll!L16,2))</f>
        <v>0.96</v>
      </c>
      <c r="G15" s="42">
        <f>IF(GERAll!P16=0,"",ROUND(GERAll!P16/GERAll!O16,2))</f>
        <v>1.02</v>
      </c>
      <c r="H15" s="42">
        <f>IF(GERAll!S16=0,"",ROUND(GERAll!S16/GERAll!R16,2))</f>
        <v>0.99</v>
      </c>
      <c r="I15" s="42">
        <f>IF(GERAll!V16=0,"",ROUND(GERAll!V16/GERAll!U16,2))</f>
        <v>0.98</v>
      </c>
      <c r="J15" s="42">
        <f>IF(GERAll!Y16=0,"",ROUND(GERAll!Y16/GERAll!X16,2))</f>
        <v>1.03</v>
      </c>
    </row>
    <row r="16" spans="1:10" s="35" customFormat="1" ht="19.5" customHeight="1">
      <c r="A16" s="25">
        <v>12</v>
      </c>
      <c r="B16" s="26" t="s">
        <v>25</v>
      </c>
      <c r="C16" s="42">
        <f>IF(GERAll!D17=0,"",ROUND(GERAll!D17/GERAll!C17,2))</f>
        <v>0.98</v>
      </c>
      <c r="D16" s="42">
        <f>IF(GERAll!G17=0,"",ROUND(GERAll!G17/GERAll!F17,2))</f>
        <v>0.98</v>
      </c>
      <c r="E16" s="42">
        <f>IF(GERAll!J17=0,"",ROUND(GERAll!J17/GERAll!I17,2))</f>
        <v>0.98</v>
      </c>
      <c r="F16" s="42">
        <f>IF(GERAll!M17=0,"",ROUND(GERAll!M17/GERAll!L17,2))</f>
        <v>1.02</v>
      </c>
      <c r="G16" s="42">
        <f>IF(GERAll!P17=0,"",ROUND(GERAll!P17/GERAll!O17,2))</f>
        <v>0.99</v>
      </c>
      <c r="H16" s="42">
        <f>IF(GERAll!S17=0,"",ROUND(GERAll!S17/GERAll!R17,2))</f>
        <v>1.0900000000000001</v>
      </c>
      <c r="I16" s="42">
        <f>IF(GERAll!V17=0,"",ROUND(GERAll!V17/GERAll!U17,2))</f>
        <v>1.05</v>
      </c>
      <c r="J16" s="42">
        <f>IF(GERAll!Y17=0,"",ROUND(GERAll!Y17/GERAll!X17,2))</f>
        <v>1</v>
      </c>
    </row>
    <row r="17" spans="1:10" s="35" customFormat="1" ht="19.5" customHeight="1">
      <c r="A17" s="25">
        <v>13</v>
      </c>
      <c r="B17" s="26" t="s">
        <v>26</v>
      </c>
      <c r="C17" s="42">
        <f>IF(GERAll!D18=0,"",ROUND(GERAll!D18/GERAll!C18,2))</f>
        <v>1</v>
      </c>
      <c r="D17" s="42">
        <f>IF(GERAll!G18=0,"",ROUND(GERAll!G18/GERAll!F18,2))</f>
        <v>0.97</v>
      </c>
      <c r="E17" s="42">
        <f>IF(GERAll!J18=0,"",ROUND(GERAll!J18/GERAll!I18,2))</f>
        <v>0.99</v>
      </c>
      <c r="F17" s="42">
        <f>IF(GERAll!M18=0,"",ROUND(GERAll!M18/GERAll!L18,2))</f>
        <v>1</v>
      </c>
      <c r="G17" s="42">
        <f>IF(GERAll!P18=0,"",ROUND(GERAll!P18/GERAll!O18,2))</f>
        <v>0.99</v>
      </c>
      <c r="H17" s="42">
        <f>IF(GERAll!S18=0,"",ROUND(GERAll!S18/GERAll!R18,2))</f>
        <v>1.18</v>
      </c>
      <c r="I17" s="42">
        <f>IF(GERAll!V18=0,"",ROUND(GERAll!V18/GERAll!U18,2))</f>
        <v>1.07</v>
      </c>
      <c r="J17" s="42">
        <f>IF(GERAll!Y18=0,"",ROUND(GERAll!Y18/GERAll!X18,2))</f>
        <v>1.01</v>
      </c>
    </row>
    <row r="18" spans="1:10" s="35" customFormat="1" ht="19.5" customHeight="1">
      <c r="A18" s="25">
        <v>14</v>
      </c>
      <c r="B18" s="26" t="s">
        <v>27</v>
      </c>
      <c r="C18" s="42">
        <f>IF(GERAll!D19=0,"",ROUND(GERAll!D19/GERAll!C19,2))</f>
        <v>1.04</v>
      </c>
      <c r="D18" s="42">
        <f>IF(GERAll!G19=0,"",ROUND(GERAll!G19/GERAll!F19,2))</f>
        <v>1.05</v>
      </c>
      <c r="E18" s="42">
        <f>IF(GERAll!J19=0,"",ROUND(GERAll!J19/GERAll!I19,2))</f>
        <v>1.05</v>
      </c>
      <c r="F18" s="42">
        <f>IF(GERAll!M19=0,"",ROUND(GERAll!M19/GERAll!L19,2))</f>
        <v>0.69</v>
      </c>
      <c r="G18" s="42">
        <f>IF(GERAll!P19=0,"",ROUND(GERAll!P19/GERAll!O19,2))</f>
        <v>1</v>
      </c>
      <c r="H18" s="42">
        <f>IF(GERAll!S19=0,"",ROUND(GERAll!S19/GERAll!R19,2))</f>
        <v>0.76</v>
      </c>
      <c r="I18" s="42">
        <f>IF(GERAll!V19=0,"",ROUND(GERAll!V19/GERAll!U19,2))</f>
        <v>0.72</v>
      </c>
      <c r="J18" s="42">
        <f>IF(GERAll!Y19=0,"",ROUND(GERAll!Y19/GERAll!X19,2))</f>
        <v>0.98</v>
      </c>
    </row>
    <row r="19" spans="1:10" s="35" customFormat="1" ht="19.5" customHeight="1">
      <c r="A19" s="25">
        <v>15</v>
      </c>
      <c r="B19" s="26" t="s">
        <v>28</v>
      </c>
      <c r="C19" s="42">
        <f>IF(GERAll!D20=0,"",ROUND(GERAll!D20/GERAll!C20,2))</f>
        <v>0.99</v>
      </c>
      <c r="D19" s="42">
        <f>IF(GERAll!G20=0,"",ROUND(GERAll!G20/GERAll!F20,2))</f>
        <v>0.97</v>
      </c>
      <c r="E19" s="42">
        <f>IF(GERAll!J20=0,"",ROUND(GERAll!J20/GERAll!I20,2))</f>
        <v>0.98</v>
      </c>
      <c r="F19" s="42">
        <f>IF(GERAll!M20=0,"",ROUND(GERAll!M20/GERAll!L20,2))</f>
        <v>0.97</v>
      </c>
      <c r="G19" s="42">
        <f>IF(GERAll!P20=0,"",ROUND(GERAll!P20/GERAll!O20,2))</f>
        <v>0.98</v>
      </c>
      <c r="H19" s="42">
        <f>IF(GERAll!S20=0,"",ROUND(GERAll!S20/GERAll!R20,2))</f>
        <v>0.92</v>
      </c>
      <c r="I19" s="42">
        <f>IF(GERAll!V20=0,"",ROUND(GERAll!V20/GERAll!U20,2))</f>
        <v>0.95</v>
      </c>
      <c r="J19" s="42">
        <f>IF(GERAll!Y20=0,"",ROUND(GERAll!Y20/GERAll!X20,2))</f>
        <v>0.98</v>
      </c>
    </row>
    <row r="20" spans="1:10" s="35" customFormat="1" ht="19.5" customHeight="1">
      <c r="A20" s="25">
        <v>16</v>
      </c>
      <c r="B20" s="26" t="s">
        <v>29</v>
      </c>
      <c r="C20" s="42">
        <f>IF(GERAll!D21=0,"",ROUND(GERAll!D21/GERAll!C21,2))</f>
        <v>1.04</v>
      </c>
      <c r="D20" s="42">
        <f>IF(GERAll!G21=0,"",ROUND(GERAll!G21/GERAll!F21,2))</f>
        <v>1.05</v>
      </c>
      <c r="E20" s="42">
        <f>IF(GERAll!J21=0,"",ROUND(GERAll!J21/GERAll!I21,2))</f>
        <v>1.04</v>
      </c>
      <c r="F20" s="42">
        <f>IF(GERAll!M21=0,"",ROUND(GERAll!M21/GERAll!L21,2))</f>
        <v>1.05</v>
      </c>
      <c r="G20" s="42">
        <f>IF(GERAll!P21=0,"",ROUND(GERAll!P21/GERAll!O21,2))</f>
        <v>1.04</v>
      </c>
      <c r="H20" s="42">
        <f>IF(GERAll!S21=0,"",ROUND(GERAll!S21/GERAll!R21,2))</f>
        <v>0.91</v>
      </c>
      <c r="I20" s="42">
        <f>IF(GERAll!V21=0,"",ROUND(GERAll!V21/GERAll!U21,2))</f>
        <v>0.99</v>
      </c>
      <c r="J20" s="42">
        <f>IF(GERAll!Y21=0,"",ROUND(GERAll!Y21/GERAll!X21,2))</f>
        <v>1.03</v>
      </c>
    </row>
    <row r="21" spans="1:10" s="35" customFormat="1" ht="19.5" customHeight="1">
      <c r="A21" s="25">
        <v>17</v>
      </c>
      <c r="B21" s="26" t="s">
        <v>30</v>
      </c>
      <c r="C21" s="42">
        <f>IF(GERAll!D22=0,"",ROUND(GERAll!D22/GERAll!C22,2))</f>
        <v>1.04</v>
      </c>
      <c r="D21" s="42">
        <f>IF(GERAll!G22=0,"",ROUND(GERAll!G22/GERAll!F22,2))</f>
        <v>1.1499999999999999</v>
      </c>
      <c r="E21" s="42">
        <f>IF(GERAll!J22=0,"",ROUND(GERAll!J22/GERAll!I22,2))</f>
        <v>1.07</v>
      </c>
      <c r="F21" s="42">
        <f>IF(GERAll!M22=0,"",ROUND(GERAll!M22/GERAll!L22,2))</f>
        <v>1.17</v>
      </c>
      <c r="G21" s="42">
        <f>IF(GERAll!P22=0,"",ROUND(GERAll!P22/GERAll!O22,2))</f>
        <v>1.08</v>
      </c>
      <c r="H21" s="42">
        <f>IF(GERAll!S22=0,"",ROUND(GERAll!S22/GERAll!R22,2))</f>
        <v>1.33</v>
      </c>
      <c r="I21" s="42">
        <f>IF(GERAll!V22=0,"",ROUND(GERAll!V22/GERAll!U22,2))</f>
        <v>1.21</v>
      </c>
      <c r="J21" s="42">
        <f>IF(GERAll!Y22=0,"",ROUND(GERAll!Y22/GERAll!X22,2))</f>
        <v>1.08</v>
      </c>
    </row>
    <row r="22" spans="1:10" s="35" customFormat="1" ht="19.5" customHeight="1">
      <c r="A22" s="25">
        <v>18</v>
      </c>
      <c r="B22" s="26" t="s">
        <v>31</v>
      </c>
      <c r="C22" s="42">
        <f>IF(GERAll!D23=0,"",ROUND(GERAll!D23/GERAll!C23,2))</f>
        <v>0.94</v>
      </c>
      <c r="D22" s="42">
        <f>IF(GERAll!G23=0,"",ROUND(GERAll!G23/GERAll!F23,2))</f>
        <v>0.95</v>
      </c>
      <c r="E22" s="42">
        <f>IF(GERAll!J23=0,"",ROUND(GERAll!J23/GERAll!I23,2))</f>
        <v>0.94</v>
      </c>
      <c r="F22" s="42">
        <f>IF(GERAll!M23=0,"",ROUND(GERAll!M23/GERAll!L23,2))</f>
        <v>1.05</v>
      </c>
      <c r="G22" s="42">
        <f>IF(GERAll!P23=0,"",ROUND(GERAll!P23/GERAll!O23,2))</f>
        <v>0.96</v>
      </c>
      <c r="H22" s="42">
        <f>IF(GERAll!S23=0,"",ROUND(GERAll!S23/GERAll!R23,2))</f>
        <v>1.03</v>
      </c>
      <c r="I22" s="42">
        <f>IF(GERAll!V23=0,"",ROUND(GERAll!V23/GERAll!U23,2))</f>
        <v>1.04</v>
      </c>
      <c r="J22" s="42">
        <f>IF(GERAll!Y23=0,"",ROUND(GERAll!Y23/GERAll!X23,2))</f>
        <v>0.96</v>
      </c>
    </row>
    <row r="23" spans="1:10" s="35" customFormat="1" ht="19.5" customHeight="1">
      <c r="A23" s="25">
        <v>19</v>
      </c>
      <c r="B23" s="26" t="s">
        <v>54</v>
      </c>
      <c r="C23" s="42">
        <f>IF(GERAll!D24=0,"",ROUND(GERAll!D24/GERAll!C24,2))</f>
        <v>1</v>
      </c>
      <c r="D23" s="42">
        <f>IF(GERAll!G24=0,"",ROUND(GERAll!G24/GERAll!F24,2))</f>
        <v>1.04</v>
      </c>
      <c r="E23" s="42">
        <f>IF(GERAll!J24=0,"",ROUND(GERAll!J24/GERAll!I24,2))</f>
        <v>1.01</v>
      </c>
      <c r="F23" s="42">
        <f>IF(GERAll!M24=0,"",ROUND(GERAll!M24/GERAll!L24,2))</f>
        <v>1.07</v>
      </c>
      <c r="G23" s="42">
        <f>IF(GERAll!P24=0,"",ROUND(GERAll!P24/GERAll!O24,2))</f>
        <v>1.02</v>
      </c>
      <c r="H23" s="42">
        <f>IF(GERAll!S24=0,"",ROUND(GERAll!S24/GERAll!R24,2))</f>
        <v>0.96</v>
      </c>
      <c r="I23" s="42">
        <f>IF(GERAll!V24=0,"",ROUND(GERAll!V24/GERAll!U24,2))</f>
        <v>1.02</v>
      </c>
      <c r="J23" s="42">
        <f>IF(GERAll!Y24=0,"",ROUND(GERAll!Y24/GERAll!X24,2))</f>
        <v>1.01</v>
      </c>
    </row>
    <row r="24" spans="1:10" s="35" customFormat="1" ht="19.5" customHeight="1">
      <c r="A24" s="25">
        <v>20</v>
      </c>
      <c r="B24" s="2" t="s">
        <v>55</v>
      </c>
      <c r="C24" s="42">
        <f>IF(GERAll!D25=0,"",ROUND(GERAll!D25/GERAll!C25,2))</f>
        <v>0.98</v>
      </c>
      <c r="D24" s="42">
        <f>IF(GERAll!G25=0,"",ROUND(GERAll!G25/GERAll!F25,2))</f>
        <v>0.98</v>
      </c>
      <c r="E24" s="42">
        <f>IF(GERAll!J25=0,"",ROUND(GERAll!J25/GERAll!I25,2))</f>
        <v>0.98</v>
      </c>
      <c r="F24" s="42">
        <f>IF(GERAll!M25=0,"",ROUND(GERAll!M25/GERAll!L25,2))</f>
        <v>0.92</v>
      </c>
      <c r="G24" s="42">
        <f>IF(GERAll!P25=0,"",ROUND(GERAll!P25/GERAll!O25,2))</f>
        <v>0.97</v>
      </c>
      <c r="H24" s="42">
        <f>IF(GERAll!S25=0,"",ROUND(GERAll!S25/GERAll!R25,2))</f>
        <v>0.67</v>
      </c>
      <c r="I24" s="42">
        <f>IF(GERAll!V25=0,"",ROUND(GERAll!V25/GERAll!U25,2))</f>
        <v>0.84</v>
      </c>
      <c r="J24" s="42">
        <f>IF(GERAll!Y25=0,"",ROUND(GERAll!Y25/GERAll!X25,2))</f>
        <v>0.95</v>
      </c>
    </row>
    <row r="25" spans="1:10" s="35" customFormat="1" ht="19.5" customHeight="1">
      <c r="A25" s="25">
        <v>21</v>
      </c>
      <c r="B25" s="26" t="s">
        <v>74</v>
      </c>
      <c r="C25" s="42">
        <f>IF(GERAll!D26=0,"",ROUND(GERAll!D26/GERAll!C26,2))</f>
        <v>1</v>
      </c>
      <c r="D25" s="42">
        <f>IF(GERAll!G26=0,"",ROUND(GERAll!G26/GERAll!F26,2))</f>
        <v>0.99</v>
      </c>
      <c r="E25" s="42">
        <f>IF(GERAll!J26=0,"",ROUND(GERAll!J26/GERAll!I26,2))</f>
        <v>1</v>
      </c>
      <c r="F25" s="42">
        <f>IF(GERAll!M26=0,"",ROUND(GERAll!M26/GERAll!L26,2))</f>
        <v>1.01</v>
      </c>
      <c r="G25" s="42">
        <f>IF(GERAll!P26=0,"",ROUND(GERAll!P26/GERAll!O26,2))</f>
        <v>1</v>
      </c>
      <c r="H25" s="42">
        <f>IF(GERAll!S26=0,"",ROUND(GERAll!S26/GERAll!R26,2))</f>
        <v>1.07</v>
      </c>
      <c r="I25" s="42">
        <f>IF(GERAll!V26=0,"",ROUND(GERAll!V26/GERAll!U26,2))</f>
        <v>1.03</v>
      </c>
      <c r="J25" s="42">
        <f>IF(GERAll!Y26=0,"",ROUND(GERAll!Y26/GERAll!X26,2))</f>
        <v>1.01</v>
      </c>
    </row>
    <row r="26" spans="1:10" s="35" customFormat="1" ht="19.5" customHeight="1">
      <c r="A26" s="25">
        <v>22</v>
      </c>
      <c r="B26" s="26" t="s">
        <v>32</v>
      </c>
      <c r="C26" s="42">
        <f>IF(GERAll!D27=0,"",ROUND(GERAll!D27/GERAll!C27,2))</f>
        <v>0.99</v>
      </c>
      <c r="D26" s="42">
        <f>IF(GERAll!G27=0,"",ROUND(GERAll!G27/GERAll!F27,2))</f>
        <v>0.91</v>
      </c>
      <c r="E26" s="42">
        <f>IF(GERAll!J27=0,"",ROUND(GERAll!J27/GERAll!I27,2))</f>
        <v>0.97</v>
      </c>
      <c r="F26" s="42">
        <f>IF(GERAll!M27=0,"",ROUND(GERAll!M27/GERAll!L27,2))</f>
        <v>0.75</v>
      </c>
      <c r="G26" s="42">
        <f>IF(GERAll!P27=0,"",ROUND(GERAll!P27/GERAll!O27,2))</f>
        <v>0.93</v>
      </c>
      <c r="H26" s="42">
        <f>IF(GERAll!S27=0,"",ROUND(GERAll!S27/GERAll!R27,2))</f>
        <v>0.69</v>
      </c>
      <c r="I26" s="42">
        <f>IF(GERAll!V27=0,"",ROUND(GERAll!V27/GERAll!U27,2))</f>
        <v>0.73</v>
      </c>
      <c r="J26" s="42">
        <f>IF(GERAll!Y27=0,"",ROUND(GERAll!Y27/GERAll!X27,2))</f>
        <v>0.91</v>
      </c>
    </row>
    <row r="27" spans="1:10" s="35" customFormat="1" ht="19.5" customHeight="1">
      <c r="A27" s="25">
        <v>23</v>
      </c>
      <c r="B27" s="26" t="s">
        <v>33</v>
      </c>
      <c r="C27" s="42">
        <f>IF(GERAll!D28=0,"",ROUND(GERAll!D28/GERAll!C28,2))</f>
        <v>1</v>
      </c>
      <c r="D27" s="42">
        <f>IF(GERAll!G28=0,"",ROUND(GERAll!G28/GERAll!F28,2))</f>
        <v>1.18</v>
      </c>
      <c r="E27" s="42">
        <f>IF(GERAll!J28=0,"",ROUND(GERAll!J28/GERAll!I28,2))</f>
        <v>1.06</v>
      </c>
      <c r="F27" s="42">
        <f>IF(GERAll!M28=0,"",ROUND(GERAll!M28/GERAll!L28,2))</f>
        <v>1.2</v>
      </c>
      <c r="G27" s="42">
        <f>IF(GERAll!P28=0,"",ROUND(GERAll!P28/GERAll!O28,2))</f>
        <v>1.07</v>
      </c>
      <c r="H27" s="42">
        <f>IF(GERAll!S28=0,"",ROUND(GERAll!S28/GERAll!R28,2))</f>
        <v>1.2</v>
      </c>
      <c r="I27" s="42">
        <f>IF(GERAll!V28=0,"",ROUND(GERAll!V28/GERAll!U28,2))</f>
        <v>1.2</v>
      </c>
      <c r="J27" s="42">
        <f>IF(GERAll!Y28=0,"",ROUND(GERAll!Y28/GERAll!X28,2))</f>
        <v>1.08</v>
      </c>
    </row>
    <row r="28" spans="1:10" s="35" customFormat="1" ht="19.5" customHeight="1">
      <c r="A28" s="25">
        <v>24</v>
      </c>
      <c r="B28" s="26" t="s">
        <v>34</v>
      </c>
      <c r="C28" s="42">
        <f>IF(GERAll!D29=0,"",ROUND(GERAll!D29/GERAll!C29,2))</f>
        <v>1.02</v>
      </c>
      <c r="D28" s="42">
        <f>IF(GERAll!G29=0,"",ROUND(GERAll!G29/GERAll!F29,2))</f>
        <v>1.01</v>
      </c>
      <c r="E28" s="42">
        <f>IF(GERAll!J29=0,"",ROUND(GERAll!J29/GERAll!I29,2))</f>
        <v>1.01</v>
      </c>
      <c r="F28" s="42">
        <f>IF(GERAll!M29=0,"",ROUND(GERAll!M29/GERAll!L29,2))</f>
        <v>1.05</v>
      </c>
      <c r="G28" s="42">
        <f>IF(GERAll!P29=0,"",ROUND(GERAll!P29/GERAll!O29,2))</f>
        <v>1.02</v>
      </c>
      <c r="H28" s="42">
        <f>IF(GERAll!S29=0,"",ROUND(GERAll!S29/GERAll!R29,2))</f>
        <v>1.28</v>
      </c>
      <c r="I28" s="42">
        <f>IF(GERAll!V29=0,"",ROUND(GERAll!V29/GERAll!U29,2))</f>
        <v>1.1299999999999999</v>
      </c>
      <c r="J28" s="42">
        <f>IF(GERAll!Y29=0,"",ROUND(GERAll!Y29/GERAll!X29,2))</f>
        <v>1.04</v>
      </c>
    </row>
    <row r="29" spans="1:10" s="35" customFormat="1" ht="19.5" customHeight="1">
      <c r="A29" s="25">
        <v>25</v>
      </c>
      <c r="B29" s="26" t="s">
        <v>35</v>
      </c>
      <c r="C29" s="42">
        <f>IF(GERAll!D30=0,"",ROUND(GERAll!D30/GERAll!C30,2))</f>
        <v>1.01</v>
      </c>
      <c r="D29" s="42">
        <f>IF(GERAll!G30=0,"",ROUND(GERAll!G30/GERAll!F30,2))</f>
        <v>1</v>
      </c>
      <c r="E29" s="42">
        <f>IF(GERAll!J30=0,"",ROUND(GERAll!J30/GERAll!I30,2))</f>
        <v>1</v>
      </c>
      <c r="F29" s="42">
        <f>IF(GERAll!M30=0,"",ROUND(GERAll!M30/GERAll!L30,2))</f>
        <v>1.02</v>
      </c>
      <c r="G29" s="42">
        <f>IF(GERAll!P30=0,"",ROUND(GERAll!P30/GERAll!O30,2))</f>
        <v>1.01</v>
      </c>
      <c r="H29" s="42">
        <f>IF(GERAll!S30=0,"",ROUND(GERAll!S30/GERAll!R30,2))</f>
        <v>0.81</v>
      </c>
      <c r="I29" s="42">
        <f>IF(GERAll!V30=0,"",ROUND(GERAll!V30/GERAll!U30,2))</f>
        <v>0.96</v>
      </c>
      <c r="J29" s="42">
        <f>IF(GERAll!Y30=0,"",ROUND(GERAll!Y30/GERAll!X30,2))</f>
        <v>1</v>
      </c>
    </row>
    <row r="30" spans="1:10" s="35" customFormat="1" ht="19.5" customHeight="1">
      <c r="A30" s="25">
        <v>26</v>
      </c>
      <c r="B30" s="26" t="s">
        <v>36</v>
      </c>
      <c r="C30" s="42">
        <f>IF(GERAll!D31=0,"",ROUND(GERAll!D31/GERAll!C31,2))</f>
        <v>1.03</v>
      </c>
      <c r="D30" s="42">
        <f>IF(GERAll!G31=0,"",ROUND(GERAll!G31/GERAll!F31,2))</f>
        <v>0.92</v>
      </c>
      <c r="E30" s="42">
        <f>IF(GERAll!J31=0,"",ROUND(GERAll!J31/GERAll!I31,2))</f>
        <v>1</v>
      </c>
      <c r="F30" s="42">
        <f>IF(GERAll!M31=0,"",ROUND(GERAll!M31/GERAll!L31,2))</f>
        <v>0.83</v>
      </c>
      <c r="G30" s="42">
        <f>IF(GERAll!P31=0,"",ROUND(GERAll!P31/GERAll!O31,2))</f>
        <v>0.98</v>
      </c>
      <c r="H30" s="42">
        <f>IF(GERAll!S31=0,"",ROUND(GERAll!S31/GERAll!R31,2))</f>
        <v>0.84</v>
      </c>
      <c r="I30" s="42">
        <f>IF(GERAll!V31=0,"",ROUND(GERAll!V31/GERAll!U31,2))</f>
        <v>0.84</v>
      </c>
      <c r="J30" s="42">
        <f>IF(GERAll!Y31=0,"",ROUND(GERAll!Y31/GERAll!X31,2))</f>
        <v>0.96</v>
      </c>
    </row>
    <row r="31" spans="1:10" s="35" customFormat="1" ht="19.5" customHeight="1">
      <c r="A31" s="25">
        <v>27</v>
      </c>
      <c r="B31" s="26" t="s">
        <v>37</v>
      </c>
      <c r="C31" s="42">
        <f>IF(GERAll!D32=0,"",ROUND(GERAll!D32/GERAll!C32,2))</f>
        <v>1.02</v>
      </c>
      <c r="D31" s="42">
        <f>IF(GERAll!G32=0,"",ROUND(GERAll!G32/GERAll!F32,2))</f>
        <v>1.05</v>
      </c>
      <c r="E31" s="42">
        <f>IF(GERAll!J32=0,"",ROUND(GERAll!J32/GERAll!I32,2))</f>
        <v>1.03</v>
      </c>
      <c r="F31" s="42">
        <f>IF(GERAll!M32=0,"",ROUND(GERAll!M32/GERAll!L32,2))</f>
        <v>0.96</v>
      </c>
      <c r="G31" s="42">
        <f>IF(GERAll!P32=0,"",ROUND(GERAll!P32/GERAll!O32,2))</f>
        <v>1.02</v>
      </c>
      <c r="H31" s="42">
        <f>IF(GERAll!S32=0,"",ROUND(GERAll!S32/GERAll!R32,2))</f>
        <v>1</v>
      </c>
      <c r="I31" s="42">
        <f>IF(GERAll!V32=0,"",ROUND(GERAll!V32/GERAll!U32,2))</f>
        <v>0.98</v>
      </c>
      <c r="J31" s="42">
        <f>IF(GERAll!Y32=0,"",ROUND(GERAll!Y32/GERAll!X32,2))</f>
        <v>1.01</v>
      </c>
    </row>
    <row r="32" spans="1:10" s="35" customFormat="1" ht="19.5" customHeight="1">
      <c r="A32" s="25">
        <v>28</v>
      </c>
      <c r="B32" s="26" t="s">
        <v>38</v>
      </c>
      <c r="C32" s="42">
        <f>IF(GERAll!D33=0,"",ROUND(GERAll!D33/GERAll!C33,2))</f>
        <v>1.03</v>
      </c>
      <c r="D32" s="42">
        <f>IF(GERAll!G33=0,"",ROUND(GERAll!G33/GERAll!F33,2))</f>
        <v>1.1299999999999999</v>
      </c>
      <c r="E32" s="42">
        <f>IF(GERAll!J33=0,"",ROUND(GERAll!J33/GERAll!I33,2))</f>
        <v>1.06</v>
      </c>
      <c r="F32" s="42">
        <f>IF(GERAll!M33=0,"",ROUND(GERAll!M33/GERAll!L33,2))</f>
        <v>1.1499999999999999</v>
      </c>
      <c r="G32" s="42">
        <f>IF(GERAll!P33=0,"",ROUND(GERAll!P33/GERAll!O33,2))</f>
        <v>1.07</v>
      </c>
      <c r="H32" s="42">
        <f>IF(GERAll!S33=0,"",ROUND(GERAll!S33/GERAll!R33,2))</f>
        <v>0.99</v>
      </c>
      <c r="I32" s="42">
        <f>IF(GERAll!V33=0,"",ROUND(GERAll!V33/GERAll!U33,2))</f>
        <v>1.0900000000000001</v>
      </c>
      <c r="J32" s="42">
        <f>IF(GERAll!Y33=0,"",ROUND(GERAll!Y33/GERAll!X33,2))</f>
        <v>1.07</v>
      </c>
    </row>
    <row r="33" spans="1:11" s="35" customFormat="1" ht="19.5" customHeight="1">
      <c r="A33" s="25">
        <v>29</v>
      </c>
      <c r="B33" s="26" t="s">
        <v>39</v>
      </c>
      <c r="C33" s="42">
        <f>IF(GERAll!D34=0,"",ROUND(GERAll!D34/GERAll!C34,2))</f>
        <v>1</v>
      </c>
      <c r="D33" s="42">
        <f>IF(GERAll!G34=0,"",ROUND(GERAll!G34/GERAll!F34,2))</f>
        <v>0.97</v>
      </c>
      <c r="E33" s="42">
        <f>IF(GERAll!J34=0,"",ROUND(GERAll!J34/GERAll!I34,2))</f>
        <v>0.99</v>
      </c>
      <c r="F33" s="42">
        <f>IF(GERAll!M34=0,"",ROUND(GERAll!M34/GERAll!L34,2))</f>
        <v>0.96</v>
      </c>
      <c r="G33" s="42">
        <f>IF(GERAll!P34=0,"",ROUND(GERAll!P34/GERAll!O34,2))</f>
        <v>0.98</v>
      </c>
      <c r="H33" s="42">
        <f>IF(GERAll!S34=0,"",ROUND(GERAll!S34/GERAll!R34,2))</f>
        <v>1.03</v>
      </c>
      <c r="I33" s="42">
        <f>IF(GERAll!V34=0,"",ROUND(GERAll!V34/GERAll!U34,2))</f>
        <v>0.99</v>
      </c>
      <c r="J33" s="42">
        <f>IF(GERAll!Y34=0,"",ROUND(GERAll!Y34/GERAll!X34,2))</f>
        <v>0.99</v>
      </c>
    </row>
    <row r="34" spans="1:11" s="35" customFormat="1" ht="19.5" customHeight="1">
      <c r="A34" s="25">
        <v>30</v>
      </c>
      <c r="B34" s="26" t="s">
        <v>40</v>
      </c>
      <c r="C34" s="42">
        <f>IF(GERAll!D35=0,"",ROUND(GERAll!D35/GERAll!C35,2))</f>
        <v>1.04</v>
      </c>
      <c r="D34" s="42">
        <f>IF(GERAll!G35=0,"",ROUND(GERAll!G35/GERAll!F35,2))</f>
        <v>0.98</v>
      </c>
      <c r="E34" s="42">
        <f>IF(GERAll!J35=0,"",ROUND(GERAll!J35/GERAll!I35,2))</f>
        <v>1.02</v>
      </c>
      <c r="F34" s="42">
        <f>IF(GERAll!M35=0,"",ROUND(GERAll!M35/GERAll!L35,2))</f>
        <v>1</v>
      </c>
      <c r="G34" s="42">
        <f>IF(GERAll!P35=0,"",ROUND(GERAll!P35/GERAll!O35,2))</f>
        <v>1.02</v>
      </c>
      <c r="H34" s="42">
        <f>IF(GERAll!S35=0,"",ROUND(GERAll!S35/GERAll!R35,2))</f>
        <v>1.04</v>
      </c>
      <c r="I34" s="42">
        <f>IF(GERAll!V35=0,"",ROUND(GERAll!V35/GERAll!U35,2))</f>
        <v>1.02</v>
      </c>
      <c r="J34" s="42">
        <f>IF(GERAll!Y35=0,"",ROUND(GERAll!Y35/GERAll!X35,2))</f>
        <v>1.02</v>
      </c>
    </row>
    <row r="35" spans="1:11" s="35" customFormat="1" ht="19.5" customHeight="1">
      <c r="A35" s="25">
        <v>31</v>
      </c>
      <c r="B35" s="26" t="s">
        <v>41</v>
      </c>
      <c r="C35" s="42">
        <f>IF(GERAll!D36=0,"",ROUND(GERAll!D36/GERAll!C36,2))</f>
        <v>0.99</v>
      </c>
      <c r="D35" s="42">
        <f>IF(GERAll!G36=0,"",ROUND(GERAll!G36/GERAll!F36,2))</f>
        <v>0.95</v>
      </c>
      <c r="E35" s="42">
        <f>IF(GERAll!J36=0,"",ROUND(GERAll!J36/GERAll!I36,2))</f>
        <v>0.97</v>
      </c>
      <c r="F35" s="42">
        <f>IF(GERAll!M36=0,"",ROUND(GERAll!M36/GERAll!L36,2))</f>
        <v>0.87</v>
      </c>
      <c r="G35" s="42">
        <f>IF(GERAll!P36=0,"",ROUND(GERAll!P36/GERAll!O36,2))</f>
        <v>0.96</v>
      </c>
      <c r="H35" s="42">
        <f>IF(GERAll!S36=0,"",ROUND(GERAll!S36/GERAll!R36,2))</f>
        <v>0.92</v>
      </c>
      <c r="I35" s="42">
        <f>IF(GERAll!V36=0,"",ROUND(GERAll!V36/GERAll!U36,2))</f>
        <v>0.9</v>
      </c>
      <c r="J35" s="42">
        <f>IF(GERAll!Y36=0,"",ROUND(GERAll!Y36/GERAll!X36,2))</f>
        <v>0.97</v>
      </c>
    </row>
    <row r="36" spans="1:11" s="35" customFormat="1" ht="19.5" customHeight="1">
      <c r="A36" s="25">
        <v>32</v>
      </c>
      <c r="B36" s="26" t="s">
        <v>42</v>
      </c>
      <c r="C36" s="42">
        <f>IF(GERAll!D37=0,"",ROUND(GERAll!D37/GERAll!C37,2))</f>
        <v>0.96</v>
      </c>
      <c r="D36" s="42">
        <f>IF(GERAll!G37=0,"",ROUND(GERAll!G37/GERAll!F37,2))</f>
        <v>0.99</v>
      </c>
      <c r="E36" s="42">
        <f>IF(GERAll!J37=0,"",ROUND(GERAll!J37/GERAll!I37,2))</f>
        <v>0.97</v>
      </c>
      <c r="F36" s="42">
        <f>IF(GERAll!M37=0,"",ROUND(GERAll!M37/GERAll!L37,2))</f>
        <v>1.17</v>
      </c>
      <c r="G36" s="42">
        <f>IF(GERAll!P37=0,"",ROUND(GERAll!P37/GERAll!O37,2))</f>
        <v>1</v>
      </c>
      <c r="H36" s="42">
        <f>IF(GERAll!S37=0,"",ROUND(GERAll!S37/GERAll!R37,2))</f>
        <v>1.52</v>
      </c>
      <c r="I36" s="42">
        <f>IF(GERAll!V37=0,"",ROUND(GERAll!V37/GERAll!U37,2))</f>
        <v>1.37</v>
      </c>
      <c r="J36" s="42">
        <f>IF(GERAll!Y37=0,"",ROUND(GERAll!Y37/GERAll!X37,2))</f>
        <v>1.0900000000000001</v>
      </c>
    </row>
    <row r="37" spans="1:11" s="35" customFormat="1" ht="19.5" customHeight="1">
      <c r="A37" s="25">
        <v>33</v>
      </c>
      <c r="B37" s="26" t="s">
        <v>43</v>
      </c>
      <c r="C37" s="42">
        <f>IF(GERAll!D38=0,"",ROUND(GERAll!D38/GERAll!C38,2))</f>
        <v>1.03</v>
      </c>
      <c r="D37" s="42">
        <f>IF(GERAll!G38=0,"",ROUND(GERAll!G38/GERAll!F38,2))</f>
        <v>1.01</v>
      </c>
      <c r="E37" s="42">
        <f>IF(GERAll!J38=0,"",ROUND(GERAll!J38/GERAll!I38,2))</f>
        <v>1.02</v>
      </c>
      <c r="F37" s="42">
        <f>IF(GERAll!M38=0,"",ROUND(GERAll!M38/GERAll!L38,2))</f>
        <v>1.01</v>
      </c>
      <c r="G37" s="42">
        <f>IF(GERAll!P38=0,"",ROUND(GERAll!P38/GERAll!O38,2))</f>
        <v>1.02</v>
      </c>
      <c r="H37" s="42">
        <f>IF(GERAll!S38=0,"",ROUND(GERAll!S38/GERAll!R38,2))</f>
        <v>1.07</v>
      </c>
      <c r="I37" s="42">
        <f>IF(GERAll!V38=0,"",ROUND(GERAll!V38/GERAll!U38,2))</f>
        <v>1.03</v>
      </c>
      <c r="J37" s="42">
        <f>IF(GERAll!Y38=0,"",ROUND(GERAll!Y38/GERAll!X38,2))</f>
        <v>1.03</v>
      </c>
    </row>
    <row r="38" spans="1:11" s="35" customFormat="1" ht="19.5" customHeight="1">
      <c r="A38" s="25">
        <v>34</v>
      </c>
      <c r="B38" s="26" t="s">
        <v>44</v>
      </c>
      <c r="C38" s="42">
        <f>IF(GERAll!D39=0,"",ROUND(GERAll!D39/GERAll!C39,2))</f>
        <v>0.96</v>
      </c>
      <c r="D38" s="42">
        <f>IF(GERAll!G39=0,"",ROUND(GERAll!G39/GERAll!F39,2))</f>
        <v>1.04</v>
      </c>
      <c r="E38" s="42">
        <f>IF(GERAll!J39=0,"",ROUND(GERAll!J39/GERAll!I39,2))</f>
        <v>0.99</v>
      </c>
      <c r="F38" s="42">
        <f>IF(GERAll!M39=0,"",ROUND(GERAll!M39/GERAll!L39,2))</f>
        <v>0.88</v>
      </c>
      <c r="G38" s="42">
        <f>IF(GERAll!P39=0,"",ROUND(GERAll!P39/GERAll!O39,2))</f>
        <v>0.97</v>
      </c>
      <c r="H38" s="42">
        <f>IF(GERAll!S39=0,"",ROUND(GERAll!S39/GERAll!R39,2))</f>
        <v>0.97</v>
      </c>
      <c r="I38" s="42">
        <f>IF(GERAll!V39=0,"",ROUND(GERAll!V39/GERAll!U39,2))</f>
        <v>0.92</v>
      </c>
      <c r="J38" s="42">
        <f>IF(GERAll!Y39=0,"",ROUND(GERAll!Y39/GERAll!X39,2))</f>
        <v>0.97</v>
      </c>
    </row>
    <row r="39" spans="1:11" s="35" customFormat="1" ht="19.5" customHeight="1">
      <c r="A39" s="25">
        <v>35</v>
      </c>
      <c r="B39" s="26" t="s">
        <v>45</v>
      </c>
      <c r="C39" s="42">
        <f>IF(GERAll!D40=0,"",ROUND(GERAll!D40/GERAll!C40,2))</f>
        <v>0.98</v>
      </c>
      <c r="D39" s="42">
        <f>IF(GERAll!G40=0,"",ROUND(GERAll!G40/GERAll!F40,2))</f>
        <v>0.99</v>
      </c>
      <c r="E39" s="42">
        <f>IF(GERAll!J40=0,"",ROUND(GERAll!J40/GERAll!I40,2))</f>
        <v>0.99</v>
      </c>
      <c r="F39" s="42">
        <f>IF(GERAll!M40=0,"",ROUND(GERAll!M40/GERAll!L40,2))</f>
        <v>1</v>
      </c>
      <c r="G39" s="42">
        <f>IF(GERAll!P40=0,"",ROUND(GERAll!P40/GERAll!O40,2))</f>
        <v>0.99</v>
      </c>
      <c r="H39" s="42">
        <f>IF(GERAll!S40=0,"",ROUND(GERAll!S40/GERAll!R40,2))</f>
        <v>1.25</v>
      </c>
      <c r="I39" s="42">
        <f>IF(GERAll!V40=0,"",ROUND(GERAll!V40/GERAll!U40,2))</f>
        <v>1.0900000000000001</v>
      </c>
      <c r="J39" s="42">
        <f>IF(GERAll!Y40=0,"",ROUND(GERAll!Y40/GERAll!X40,2))</f>
        <v>1.02</v>
      </c>
    </row>
    <row r="40" spans="1:11" s="87" customFormat="1" ht="19.5" customHeight="1">
      <c r="A40" s="286" t="s">
        <v>46</v>
      </c>
      <c r="B40" s="286"/>
      <c r="C40" s="96">
        <f>IF(GERAll!D41=0,"",ROUND(GERAll!D41/GERAll!C41,2))</f>
        <v>1.01</v>
      </c>
      <c r="D40" s="96">
        <f>IF(GERAll!G41=0,"",ROUND(GERAll!G41/GERAll!F41,2))</f>
        <v>0.99</v>
      </c>
      <c r="E40" s="96">
        <f>IF(GERAll!J41=0,"",ROUND(GERAll!J41/GERAll!I41,2))</f>
        <v>1</v>
      </c>
      <c r="F40" s="96">
        <f>IF(GERAll!M41=0,"",ROUND(GERAll!M41/GERAll!L41,2))</f>
        <v>0.93</v>
      </c>
      <c r="G40" s="96">
        <f>IF(GERAll!P41=0,"",ROUND(GERAll!P41/GERAll!O41,2))</f>
        <v>0.99</v>
      </c>
      <c r="H40" s="96">
        <f>IF(GERAll!S41=0,"",ROUND(GERAll!S41/GERAll!R41,2))</f>
        <v>0.92</v>
      </c>
      <c r="I40" s="96">
        <f>IF(GERAll!V41=0,"",ROUND(GERAll!V41/GERAll!U41,2))</f>
        <v>0.93</v>
      </c>
      <c r="J40" s="96">
        <f>IF(GERAll!Y41=0,"",ROUND(GERAll!Y41/GERAll!X41,2))</f>
        <v>0.99</v>
      </c>
    </row>
    <row r="41" spans="1:11" s="36" customFormat="1">
      <c r="A41" s="24"/>
      <c r="B41" s="24">
        <f>K3</f>
        <v>0</v>
      </c>
      <c r="C41" s="24" t="str">
        <f>C3</f>
        <v>Classes
I-V</v>
      </c>
      <c r="D41" s="24" t="str">
        <f t="shared" ref="D41:J41" si="0">D3</f>
        <v>Classes
VI-VIII</v>
      </c>
      <c r="E41" s="24" t="str">
        <f t="shared" si="0"/>
        <v>Classes
I-VIII</v>
      </c>
      <c r="F41" s="24" t="str">
        <f t="shared" si="0"/>
        <v>Classes
IX-X</v>
      </c>
      <c r="G41" s="24" t="str">
        <f t="shared" si="0"/>
        <v>Classes
I-X</v>
      </c>
      <c r="H41" s="24" t="str">
        <f t="shared" si="0"/>
        <v>Classes
XI-XII</v>
      </c>
      <c r="I41" s="24" t="str">
        <f t="shared" si="0"/>
        <v>Classes
IX-XII</v>
      </c>
      <c r="J41" s="24" t="str">
        <f t="shared" si="0"/>
        <v>Classes
I-XII</v>
      </c>
      <c r="K41" s="24"/>
    </row>
    <row r="42" spans="1:11" s="24" customFormat="1">
      <c r="B42" s="268" t="s">
        <v>209</v>
      </c>
      <c r="C42" s="269">
        <v>1.01</v>
      </c>
      <c r="D42" s="269">
        <v>0.99</v>
      </c>
      <c r="E42" s="269">
        <v>1</v>
      </c>
      <c r="F42" s="269">
        <v>0.93</v>
      </c>
      <c r="G42" s="269">
        <v>0.99</v>
      </c>
      <c r="H42" s="269">
        <v>0.92</v>
      </c>
      <c r="I42" s="269">
        <v>0.93</v>
      </c>
      <c r="J42" s="269">
        <v>0.99</v>
      </c>
    </row>
    <row r="43" spans="1:11" s="24" customFormat="1">
      <c r="B43" s="36" t="s">
        <v>206</v>
      </c>
      <c r="C43" s="266">
        <v>1.02</v>
      </c>
      <c r="D43" s="266">
        <v>1.02</v>
      </c>
      <c r="E43" s="266">
        <v>1.05</v>
      </c>
      <c r="F43" s="266">
        <v>0.98</v>
      </c>
      <c r="G43" s="266">
        <v>1.04</v>
      </c>
      <c r="H43" s="266">
        <v>1</v>
      </c>
      <c r="I43" s="266">
        <v>0.99</v>
      </c>
      <c r="J43" s="266">
        <v>1.02</v>
      </c>
    </row>
    <row r="44" spans="1:11" s="24" customFormat="1">
      <c r="B44" s="24" t="s">
        <v>208</v>
      </c>
      <c r="C44" s="269">
        <v>0.98</v>
      </c>
      <c r="D44" s="269">
        <v>0.96</v>
      </c>
      <c r="E44" s="269">
        <v>0.98</v>
      </c>
      <c r="F44" s="269">
        <v>0.89</v>
      </c>
      <c r="G44" s="269">
        <v>0.97</v>
      </c>
      <c r="H44" s="269">
        <v>0.82</v>
      </c>
      <c r="I44" s="269">
        <v>0.87</v>
      </c>
      <c r="J44" s="269">
        <v>0.96</v>
      </c>
    </row>
    <row r="45" spans="1:11" s="24" customFormat="1"/>
    <row r="46" spans="1:11" s="24" customFormat="1"/>
    <row r="47" spans="1:11" s="24" customFormat="1"/>
    <row r="48" spans="1:11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67" customFormat="1"/>
    <row r="58" s="267" customFormat="1"/>
    <row r="59" s="267" customFormat="1"/>
    <row r="60" s="267" customFormat="1"/>
    <row r="61" s="267" customFormat="1"/>
    <row r="62" s="267" customFormat="1"/>
    <row r="63" s="267" customFormat="1"/>
    <row r="64" s="267" customFormat="1"/>
  </sheetData>
  <mergeCells count="1">
    <mergeCell ref="A40:B40"/>
  </mergeCells>
  <printOptions horizontalCentered="1"/>
  <pageMargins left="0.2" right="0.22" top="0.44" bottom="0.59" header="0.2" footer="0.33"/>
  <pageSetup paperSize="9" scale="98" firstPageNumber="60" orientation="portrait" useFirstPageNumber="1" r:id="rId1"/>
  <headerFooter alignWithMargins="0">
    <oddFooter>&amp;LSTATISTICS OF SCHOOL EDUCATION 2011-12&amp;R&amp;P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40"/>
  <sheetViews>
    <sheetView view="pageBreakPreview" zoomScaleSheetLayoutView="100" workbookViewId="0">
      <selection activeCell="L40" sqref="L40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31" customFormat="1" ht="24.75" customHeight="1">
      <c r="A1" s="29"/>
      <c r="B1" s="30"/>
      <c r="C1" s="23" t="s">
        <v>141</v>
      </c>
      <c r="D1" s="23"/>
      <c r="E1" s="23"/>
      <c r="F1" s="23"/>
      <c r="G1" s="23"/>
      <c r="H1" s="23"/>
      <c r="I1" s="23"/>
      <c r="J1" s="23"/>
    </row>
    <row r="2" spans="1:10" ht="15.75" customHeight="1">
      <c r="A2" s="24"/>
      <c r="B2" s="24"/>
      <c r="C2" s="139" t="s">
        <v>79</v>
      </c>
      <c r="D2" s="32"/>
      <c r="E2" s="32"/>
      <c r="F2" s="32"/>
      <c r="G2" s="32"/>
      <c r="H2" s="32"/>
      <c r="I2" s="32"/>
      <c r="J2" s="32"/>
    </row>
    <row r="3" spans="1:10" s="33" customFormat="1" ht="37.5" customHeight="1">
      <c r="A3" s="98" t="s">
        <v>67</v>
      </c>
      <c r="B3" s="98" t="s">
        <v>65</v>
      </c>
      <c r="C3" s="99" t="s">
        <v>118</v>
      </c>
      <c r="D3" s="99" t="s">
        <v>112</v>
      </c>
      <c r="E3" s="99" t="s">
        <v>119</v>
      </c>
      <c r="F3" s="99" t="s">
        <v>113</v>
      </c>
      <c r="G3" s="99" t="s">
        <v>114</v>
      </c>
      <c r="H3" s="99" t="s">
        <v>115</v>
      </c>
      <c r="I3" s="99" t="s">
        <v>116</v>
      </c>
      <c r="J3" s="98" t="s">
        <v>117</v>
      </c>
    </row>
    <row r="4" spans="1:10" s="34" customFormat="1" ht="13.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</row>
    <row r="5" spans="1:10" s="35" customFormat="1" ht="19.5" customHeight="1">
      <c r="A5" s="25">
        <v>1</v>
      </c>
      <c r="B5" s="26" t="s">
        <v>16</v>
      </c>
      <c r="C5" s="42">
        <f>IF(GERSC!D6=0,"",ROUND(GERSC!D6/GERSC!C6,2))</f>
        <v>1</v>
      </c>
      <c r="D5" s="42">
        <f>IF(GERSC!G6=0,"",ROUND(GERSC!G6/GERSC!F6,2))</f>
        <v>1</v>
      </c>
      <c r="E5" s="42">
        <f>IF(GERSC!J6=0,"",ROUND(GERSC!J6/GERSC!I6,2))</f>
        <v>1</v>
      </c>
      <c r="F5" s="42">
        <f>IF(GERSC!M6=0,"",ROUND(GERSC!M6/GERSC!L6,2))</f>
        <v>1.03</v>
      </c>
      <c r="G5" s="42">
        <f>IF(GERSC!P6=0,"",ROUND(GERSC!P6/GERSC!O6,2))</f>
        <v>1</v>
      </c>
      <c r="H5" s="42">
        <f>IF(GERSC!S6=0,"",ROUND(GERSC!S6/GERSC!R6,2))</f>
        <v>1.01</v>
      </c>
      <c r="I5" s="42">
        <f>IF(GERSC!V6=0,"",ROUND(GERSC!V6/GERSC!U6,2))</f>
        <v>1.02</v>
      </c>
      <c r="J5" s="42">
        <f>IF(GERSC!Y6=0,"",ROUND(GERSC!Y6/GERSC!X6,2))</f>
        <v>1.01</v>
      </c>
    </row>
    <row r="6" spans="1:10" s="35" customFormat="1" ht="19.5" customHeight="1">
      <c r="A6" s="25">
        <v>2</v>
      </c>
      <c r="B6" s="26" t="s">
        <v>17</v>
      </c>
      <c r="C6" s="42" t="str">
        <f>IF(GERSC!D7=0,"",ROUND(GERSC!D7/GERSC!C7,2))</f>
        <v/>
      </c>
      <c r="D6" s="42" t="str">
        <f>IF(GERSC!G7=0,"",ROUND(GERSC!G7/GERSC!F7,2))</f>
        <v/>
      </c>
      <c r="E6" s="42" t="str">
        <f>IF(GERSC!J7=0,"",ROUND(GERSC!J7/GERSC!I7,2))</f>
        <v/>
      </c>
      <c r="F6" s="42" t="str">
        <f>IF(GERSC!M7=0,"",ROUND(GERSC!M7/GERSC!L7,2))</f>
        <v/>
      </c>
      <c r="G6" s="42" t="str">
        <f>IF(GERSC!P7=0,"",ROUND(GERSC!P7/GERSC!O7,2))</f>
        <v/>
      </c>
      <c r="H6" s="42" t="str">
        <f>IF(GERSC!S7=0,"",ROUND(GERSC!S7/GERSC!R7,2))</f>
        <v/>
      </c>
      <c r="I6" s="42" t="str">
        <f>IF(GERSC!V7=0,"",ROUND(GERSC!V7/GERSC!U7,2))</f>
        <v/>
      </c>
      <c r="J6" s="42" t="str">
        <f>IF(GERSC!Y7=0,"",ROUND(GERSC!Y7/GERSC!X7,2))</f>
        <v/>
      </c>
    </row>
    <row r="7" spans="1:10" s="35" customFormat="1" ht="19.5" customHeight="1">
      <c r="A7" s="25">
        <v>3</v>
      </c>
      <c r="B7" s="26" t="s">
        <v>48</v>
      </c>
      <c r="C7" s="42">
        <f>IF(GERSC!D8=0,"",ROUND(GERSC!D8/GERSC!C8,2))</f>
        <v>1.02</v>
      </c>
      <c r="D7" s="42">
        <f>IF(GERSC!G8=0,"",ROUND(GERSC!G8/GERSC!F8,2))</f>
        <v>1</v>
      </c>
      <c r="E7" s="42">
        <f>IF(GERSC!J8=0,"",ROUND(GERSC!J8/GERSC!I8,2))</f>
        <v>1.01</v>
      </c>
      <c r="F7" s="42">
        <f>IF(GERSC!M8=0,"",ROUND(GERSC!M8/GERSC!L8,2))</f>
        <v>1.1499999999999999</v>
      </c>
      <c r="G7" s="42">
        <f>IF(GERSC!P8=0,"",ROUND(GERSC!P8/GERSC!O8,2))</f>
        <v>1.03</v>
      </c>
      <c r="H7" s="42">
        <f>IF(GERSC!S8=0,"",ROUND(GERSC!S8/GERSC!R8,2))</f>
        <v>1.07</v>
      </c>
      <c r="I7" s="42">
        <f>IF(GERSC!V8=0,"",ROUND(GERSC!V8/GERSC!U8,2))</f>
        <v>1.17</v>
      </c>
      <c r="J7" s="42">
        <f>IF(GERSC!Y8=0,"",ROUND(GERSC!Y8/GERSC!X8,2))</f>
        <v>1.05</v>
      </c>
    </row>
    <row r="8" spans="1:10" s="35" customFormat="1" ht="19.5" customHeight="1">
      <c r="A8" s="25">
        <v>4</v>
      </c>
      <c r="B8" s="26" t="s">
        <v>18</v>
      </c>
      <c r="C8" s="42">
        <f>IF(GERSC!D9=0,"",ROUND(GERSC!D9/GERSC!C9,2))</f>
        <v>0.88</v>
      </c>
      <c r="D8" s="42">
        <f>IF(GERSC!G9=0,"",ROUND(GERSC!G9/GERSC!F9,2))</f>
        <v>0.9</v>
      </c>
      <c r="E8" s="42">
        <f>IF(GERSC!J9=0,"",ROUND(GERSC!J9/GERSC!I9,2))</f>
        <v>0.89</v>
      </c>
      <c r="F8" s="42">
        <f>IF(GERSC!M9=0,"",ROUND(GERSC!M9/GERSC!L9,2))</f>
        <v>0.89</v>
      </c>
      <c r="G8" s="42">
        <f>IF(GERSC!P9=0,"",ROUND(GERSC!P9/GERSC!O9,2))</f>
        <v>0.9</v>
      </c>
      <c r="H8" s="42">
        <f>IF(GERSC!S9=0,"",ROUND(GERSC!S9/GERSC!R9,2))</f>
        <v>1.04</v>
      </c>
      <c r="I8" s="42">
        <f>IF(GERSC!V9=0,"",ROUND(GERSC!V9/GERSC!U9,2))</f>
        <v>0.94</v>
      </c>
      <c r="J8" s="42">
        <f>IF(GERSC!Y9=0,"",ROUND(GERSC!Y9/GERSC!X9,2))</f>
        <v>0.92</v>
      </c>
    </row>
    <row r="9" spans="1:10" s="35" customFormat="1" ht="19.5" customHeight="1">
      <c r="A9" s="25">
        <v>5</v>
      </c>
      <c r="B9" s="28" t="s">
        <v>19</v>
      </c>
      <c r="C9" s="42">
        <f>IF(GERSC!D10=0,"",ROUND(GERSC!D10/GERSC!C10,2))</f>
        <v>0.96</v>
      </c>
      <c r="D9" s="42">
        <f>IF(GERSC!G10=0,"",ROUND(GERSC!G10/GERSC!F10,2))</f>
        <v>0.9</v>
      </c>
      <c r="E9" s="42">
        <f>IF(GERSC!J10=0,"",ROUND(GERSC!J10/GERSC!I10,2))</f>
        <v>0.94</v>
      </c>
      <c r="F9" s="42">
        <f>IF(GERSC!M10=0,"",ROUND(GERSC!M10/GERSC!L10,2))</f>
        <v>0.99</v>
      </c>
      <c r="G9" s="42">
        <f>IF(GERSC!P10=0,"",ROUND(GERSC!P10/GERSC!O10,2))</f>
        <v>0.95</v>
      </c>
      <c r="H9" s="42">
        <f>IF(GERSC!S10=0,"",ROUND(GERSC!S10/GERSC!R10,2))</f>
        <v>0.88</v>
      </c>
      <c r="I9" s="42">
        <f>IF(GERSC!V10=0,"",ROUND(GERSC!V10/GERSC!U10,2))</f>
        <v>0.95</v>
      </c>
      <c r="J9" s="42">
        <f>IF(GERSC!Y10=0,"",ROUND(GERSC!Y10/GERSC!X10,2))</f>
        <v>0.94</v>
      </c>
    </row>
    <row r="10" spans="1:10" s="35" customFormat="1" ht="19.5" customHeight="1">
      <c r="A10" s="25">
        <v>6</v>
      </c>
      <c r="B10" s="26" t="s">
        <v>20</v>
      </c>
      <c r="C10" s="42">
        <f>IF(GERSC!D11=0,"",ROUND(GERSC!D11/GERSC!C11,2))</f>
        <v>0.69</v>
      </c>
      <c r="D10" s="42">
        <f>IF(GERSC!G11=0,"",ROUND(GERSC!G11/GERSC!F11,2))</f>
        <v>0.87</v>
      </c>
      <c r="E10" s="42">
        <f>IF(GERSC!J11=0,"",ROUND(GERSC!J11/GERSC!I11,2))</f>
        <v>0.76</v>
      </c>
      <c r="F10" s="42">
        <f>IF(GERSC!M11=0,"",ROUND(GERSC!M11/GERSC!L11,2))</f>
        <v>1.06</v>
      </c>
      <c r="G10" s="42">
        <f>IF(GERSC!P11=0,"",ROUND(GERSC!P11/GERSC!O11,2))</f>
        <v>0.8</v>
      </c>
      <c r="H10" s="42">
        <f>IF(GERSC!S11=0,"",ROUND(GERSC!S11/GERSC!R11,2))</f>
        <v>1.03</v>
      </c>
      <c r="I10" s="42">
        <f>IF(GERSC!V11=0,"",ROUND(GERSC!V11/GERSC!U11,2))</f>
        <v>1.04</v>
      </c>
      <c r="J10" s="42">
        <f>IF(GERSC!Y11=0,"",ROUND(GERSC!Y11/GERSC!X11,2))</f>
        <v>0.82</v>
      </c>
    </row>
    <row r="11" spans="1:10" s="35" customFormat="1" ht="19.5" customHeight="1">
      <c r="A11" s="25">
        <v>7</v>
      </c>
      <c r="B11" s="26" t="s">
        <v>21</v>
      </c>
      <c r="C11" s="42">
        <f>IF(GERSC!D12=0,"",ROUND(GERSC!D12/GERSC!C12,2))</f>
        <v>1.1100000000000001</v>
      </c>
      <c r="D11" s="42">
        <f>IF(GERSC!G12=0,"",ROUND(GERSC!G12/GERSC!F12,2))</f>
        <v>0.93</v>
      </c>
      <c r="E11" s="42">
        <f>IF(GERSC!J12=0,"",ROUND(GERSC!J12/GERSC!I12,2))</f>
        <v>1.05</v>
      </c>
      <c r="F11" s="42">
        <f>IF(GERSC!M12=0,"",ROUND(GERSC!M12/GERSC!L12,2))</f>
        <v>0.75</v>
      </c>
      <c r="G11" s="42">
        <f>IF(GERSC!P12=0,"",ROUND(GERSC!P12/GERSC!O12,2))</f>
        <v>0.99</v>
      </c>
      <c r="H11" s="42">
        <f>IF(GERSC!S12=0,"",ROUND(GERSC!S12/GERSC!R12,2))</f>
        <v>0.79</v>
      </c>
      <c r="I11" s="42">
        <f>IF(GERSC!V12=0,"",ROUND(GERSC!V12/GERSC!U12,2))</f>
        <v>0.77</v>
      </c>
      <c r="J11" s="42">
        <f>IF(GERSC!Y12=0,"",ROUND(GERSC!Y12/GERSC!X12,2))</f>
        <v>0.97</v>
      </c>
    </row>
    <row r="12" spans="1:10" s="35" customFormat="1" ht="19.5" customHeight="1">
      <c r="A12" s="25">
        <v>8</v>
      </c>
      <c r="B12" s="26" t="s">
        <v>22</v>
      </c>
      <c r="C12" s="42">
        <f>IF(GERSC!D13=0,"",ROUND(GERSC!D13/GERSC!C13,2))</f>
        <v>1.04</v>
      </c>
      <c r="D12" s="42">
        <f>IF(GERSC!G13=0,"",ROUND(GERSC!G13/GERSC!F13,2))</f>
        <v>1.1000000000000001</v>
      </c>
      <c r="E12" s="42">
        <f>IF(GERSC!J13=0,"",ROUND(GERSC!J13/GERSC!I13,2))</f>
        <v>1.06</v>
      </c>
      <c r="F12" s="42">
        <f>IF(GERSC!M13=0,"",ROUND(GERSC!M13/GERSC!L13,2))</f>
        <v>1.04</v>
      </c>
      <c r="G12" s="42">
        <f>IF(GERSC!P13=0,"",ROUND(GERSC!P13/GERSC!O13,2))</f>
        <v>1.06</v>
      </c>
      <c r="H12" s="42">
        <f>IF(GERSC!S13=0,"",ROUND(GERSC!S13/GERSC!R13,2))</f>
        <v>1.02</v>
      </c>
      <c r="I12" s="42">
        <f>IF(GERSC!V13=0,"",ROUND(GERSC!V13/GERSC!U13,2))</f>
        <v>1.04</v>
      </c>
      <c r="J12" s="42">
        <f>IF(GERSC!Y13=0,"",ROUND(GERSC!Y13/GERSC!X13,2))</f>
        <v>1.06</v>
      </c>
    </row>
    <row r="13" spans="1:10" s="35" customFormat="1" ht="19.5" customHeight="1">
      <c r="A13" s="25">
        <v>9</v>
      </c>
      <c r="B13" s="26" t="s">
        <v>23</v>
      </c>
      <c r="C13" s="42">
        <f>IF(GERSC!D14=0,"",ROUND(GERSC!D14/GERSC!C14,2))</f>
        <v>1.02</v>
      </c>
      <c r="D13" s="42">
        <f>IF(GERSC!G14=0,"",ROUND(GERSC!G14/GERSC!F14,2))</f>
        <v>1</v>
      </c>
      <c r="E13" s="42">
        <f>IF(GERSC!J14=0,"",ROUND(GERSC!J14/GERSC!I14,2))</f>
        <v>1.01</v>
      </c>
      <c r="F13" s="42">
        <f>IF(GERSC!M14=0,"",ROUND(GERSC!M14/GERSC!L14,2))</f>
        <v>0.98</v>
      </c>
      <c r="G13" s="42">
        <f>IF(GERSC!P14=0,"",ROUND(GERSC!P14/GERSC!O14,2))</f>
        <v>1</v>
      </c>
      <c r="H13" s="42">
        <f>IF(GERSC!S14=0,"",ROUND(GERSC!S14/GERSC!R14,2))</f>
        <v>0.99</v>
      </c>
      <c r="I13" s="42">
        <f>IF(GERSC!V14=0,"",ROUND(GERSC!V14/GERSC!U14,2))</f>
        <v>0.99</v>
      </c>
      <c r="J13" s="42">
        <f>IF(GERSC!Y14=0,"",ROUND(GERSC!Y14/GERSC!X14,2))</f>
        <v>1</v>
      </c>
    </row>
    <row r="14" spans="1:10" s="35" customFormat="1" ht="19.5" customHeight="1">
      <c r="A14" s="25">
        <v>10</v>
      </c>
      <c r="B14" s="26" t="s">
        <v>24</v>
      </c>
      <c r="C14" s="42">
        <f>IF(GERSC!D15=0,"",ROUND(GERSC!D15/GERSC!C15,2))</f>
        <v>1.01</v>
      </c>
      <c r="D14" s="42">
        <f>IF(GERSC!G15=0,"",ROUND(GERSC!G15/GERSC!F15,2))</f>
        <v>1.02</v>
      </c>
      <c r="E14" s="42">
        <f>IF(GERSC!J15=0,"",ROUND(GERSC!J15/GERSC!I15,2))</f>
        <v>1.01</v>
      </c>
      <c r="F14" s="42">
        <f>IF(GERSC!M15=0,"",ROUND(GERSC!M15/GERSC!L15,2))</f>
        <v>0.95</v>
      </c>
      <c r="G14" s="42">
        <f>IF(GERSC!P15=0,"",ROUND(GERSC!P15/GERSC!O15,2))</f>
        <v>1</v>
      </c>
      <c r="H14" s="42">
        <f>IF(GERSC!S15=0,"",ROUND(GERSC!S15/GERSC!R15,2))</f>
        <v>0.95</v>
      </c>
      <c r="I14" s="42">
        <f>IF(GERSC!V15=0,"",ROUND(GERSC!V15/GERSC!U15,2))</f>
        <v>0.95</v>
      </c>
      <c r="J14" s="42">
        <f>IF(GERSC!Y15=0,"",ROUND(GERSC!Y15/GERSC!X15,2))</f>
        <v>1</v>
      </c>
    </row>
    <row r="15" spans="1:10" s="35" customFormat="1" ht="19.5" customHeight="1">
      <c r="A15" s="25">
        <v>11</v>
      </c>
      <c r="B15" s="26" t="s">
        <v>52</v>
      </c>
      <c r="C15" s="42">
        <f>IF(GERSC!D16=0,"",ROUND(GERSC!D16/GERSC!C16,2))</f>
        <v>0.99</v>
      </c>
      <c r="D15" s="42">
        <f>IF(GERSC!G16=0,"",ROUND(GERSC!G16/GERSC!F16,2))</f>
        <v>0.95</v>
      </c>
      <c r="E15" s="42">
        <f>IF(GERSC!J16=0,"",ROUND(GERSC!J16/GERSC!I16,2))</f>
        <v>0.98</v>
      </c>
      <c r="F15" s="42">
        <f>IF(GERSC!M16=0,"",ROUND(GERSC!M16/GERSC!L16,2))</f>
        <v>0.94</v>
      </c>
      <c r="G15" s="42">
        <f>IF(GERSC!P16=0,"",ROUND(GERSC!P16/GERSC!O16,2))</f>
        <v>0.99</v>
      </c>
      <c r="H15" s="42">
        <f>IF(GERSC!S16=0,"",ROUND(GERSC!S16/GERSC!R16,2))</f>
        <v>1.21</v>
      </c>
      <c r="I15" s="42">
        <f>IF(GERSC!V16=0,"",ROUND(GERSC!V16/GERSC!U16,2))</f>
        <v>1.01</v>
      </c>
      <c r="J15" s="42">
        <f>IF(GERSC!Y16=0,"",ROUND(GERSC!Y16/GERSC!X16,2))</f>
        <v>1.01</v>
      </c>
    </row>
    <row r="16" spans="1:10" s="35" customFormat="1" ht="19.5" customHeight="1">
      <c r="A16" s="25">
        <v>12</v>
      </c>
      <c r="B16" s="26" t="s">
        <v>25</v>
      </c>
      <c r="C16" s="42">
        <f>IF(GERSC!D17=0,"",ROUND(GERSC!D17/GERSC!C17,2))</f>
        <v>1.04</v>
      </c>
      <c r="D16" s="42">
        <f>IF(GERSC!G17=0,"",ROUND(GERSC!G17/GERSC!F17,2))</f>
        <v>0.94</v>
      </c>
      <c r="E16" s="42">
        <f>IF(GERSC!J17=0,"",ROUND(GERSC!J17/GERSC!I17,2))</f>
        <v>0.96</v>
      </c>
      <c r="F16" s="42">
        <f>IF(GERSC!M17=0,"",ROUND(GERSC!M17/GERSC!L17,2))</f>
        <v>1</v>
      </c>
      <c r="G16" s="42">
        <f>IF(GERSC!P17=0,"",ROUND(GERSC!P17/GERSC!O17,2))</f>
        <v>0.97</v>
      </c>
      <c r="H16" s="42">
        <f>IF(GERSC!S17=0,"",ROUND(GERSC!S17/GERSC!R17,2))</f>
        <v>1.03</v>
      </c>
      <c r="I16" s="42">
        <f>IF(GERSC!V17=0,"",ROUND(GERSC!V17/GERSC!U17,2))</f>
        <v>1.01</v>
      </c>
      <c r="J16" s="42">
        <f>IF(GERSC!Y17=0,"",ROUND(GERSC!Y17/GERSC!X17,2))</f>
        <v>0.98</v>
      </c>
    </row>
    <row r="17" spans="1:10" s="35" customFormat="1" ht="19.5" customHeight="1">
      <c r="A17" s="25">
        <v>13</v>
      </c>
      <c r="B17" s="26" t="s">
        <v>26</v>
      </c>
      <c r="C17" s="42">
        <f>IF(GERSC!D18=0,"",ROUND(GERSC!D18/GERSC!C18,2))</f>
        <v>0.98</v>
      </c>
      <c r="D17" s="42">
        <f>IF(GERSC!G18=0,"",ROUND(GERSC!G18/GERSC!F18,2))</f>
        <v>0.96</v>
      </c>
      <c r="E17" s="42">
        <f>IF(GERSC!J18=0,"",ROUND(GERSC!J18/GERSC!I18,2))</f>
        <v>0.97</v>
      </c>
      <c r="F17" s="42">
        <f>IF(GERSC!M18=0,"",ROUND(GERSC!M18/GERSC!L18,2))</f>
        <v>1</v>
      </c>
      <c r="G17" s="42">
        <f>IF(GERSC!P18=0,"",ROUND(GERSC!P18/GERSC!O18,2))</f>
        <v>0.98</v>
      </c>
      <c r="H17" s="42">
        <f>IF(GERSC!S18=0,"",ROUND(GERSC!S18/GERSC!R18,2))</f>
        <v>1.17</v>
      </c>
      <c r="I17" s="42">
        <f>IF(GERSC!V18=0,"",ROUND(GERSC!V18/GERSC!U18,2))</f>
        <v>1.06</v>
      </c>
      <c r="J17" s="42">
        <f>IF(GERSC!Y18=0,"",ROUND(GERSC!Y18/GERSC!X18,2))</f>
        <v>1</v>
      </c>
    </row>
    <row r="18" spans="1:10" s="35" customFormat="1" ht="19.5" customHeight="1">
      <c r="A18" s="25">
        <v>14</v>
      </c>
      <c r="B18" s="26" t="s">
        <v>27</v>
      </c>
      <c r="C18" s="42">
        <f>IF(GERSC!D19=0,"",ROUND(GERSC!D19/GERSC!C19,2))</f>
        <v>1.05</v>
      </c>
      <c r="D18" s="42">
        <f>IF(GERSC!G19=0,"",ROUND(GERSC!G19/GERSC!F19,2))</f>
        <v>1.08</v>
      </c>
      <c r="E18" s="42">
        <f>IF(GERSC!J19=0,"",ROUND(GERSC!J19/GERSC!I19,2))</f>
        <v>1.06</v>
      </c>
      <c r="F18" s="42">
        <f>IF(GERSC!M19=0,"",ROUND(GERSC!M19/GERSC!L19,2))</f>
        <v>0.75</v>
      </c>
      <c r="G18" s="42">
        <f>IF(GERSC!P19=0,"",ROUND(GERSC!P19/GERSC!O19,2))</f>
        <v>1.01</v>
      </c>
      <c r="H18" s="42">
        <f>IF(GERSC!S19=0,"",ROUND(GERSC!S19/GERSC!R19,2))</f>
        <v>0.88</v>
      </c>
      <c r="I18" s="42">
        <f>IF(GERSC!V19=0,"",ROUND(GERSC!V19/GERSC!U19,2))</f>
        <v>0.8</v>
      </c>
      <c r="J18" s="42">
        <f>IF(GERSC!Y19=0,"",ROUND(GERSC!Y19/GERSC!X19,2))</f>
        <v>1.01</v>
      </c>
    </row>
    <row r="19" spans="1:10" s="35" customFormat="1" ht="19.5" customHeight="1">
      <c r="A19" s="25">
        <v>15</v>
      </c>
      <c r="B19" s="26" t="s">
        <v>28</v>
      </c>
      <c r="C19" s="42">
        <f>IF(GERSC!D20=0,"",ROUND(GERSC!D20/GERSC!C20,2))</f>
        <v>0.99</v>
      </c>
      <c r="D19" s="42">
        <f>IF(GERSC!G20=0,"",ROUND(GERSC!G20/GERSC!F20,2))</f>
        <v>0.97</v>
      </c>
      <c r="E19" s="42">
        <f>IF(GERSC!J20=0,"",ROUND(GERSC!J20/GERSC!I20,2))</f>
        <v>0.98</v>
      </c>
      <c r="F19" s="42">
        <f>IF(GERSC!M20=0,"",ROUND(GERSC!M20/GERSC!L20,2))</f>
        <v>0.93</v>
      </c>
      <c r="G19" s="42">
        <f>IF(GERSC!P20=0,"",ROUND(GERSC!P20/GERSC!O20,2))</f>
        <v>0.98</v>
      </c>
      <c r="H19" s="42">
        <f>IF(GERSC!S20=0,"",ROUND(GERSC!S20/GERSC!R20,2))</f>
        <v>0.91</v>
      </c>
      <c r="I19" s="42">
        <f>IF(GERSC!V20=0,"",ROUND(GERSC!V20/GERSC!U20,2))</f>
        <v>0.92</v>
      </c>
      <c r="J19" s="42">
        <f>IF(GERSC!Y20=0,"",ROUND(GERSC!Y20/GERSC!X20,2))</f>
        <v>0.97</v>
      </c>
    </row>
    <row r="20" spans="1:10" s="35" customFormat="1" ht="19.5" customHeight="1">
      <c r="A20" s="25">
        <v>16</v>
      </c>
      <c r="B20" s="26" t="s">
        <v>29</v>
      </c>
      <c r="C20" s="42">
        <f>IF(GERSC!D21=0,"",ROUND(GERSC!D21/GERSC!C21,2))</f>
        <v>1.04</v>
      </c>
      <c r="D20" s="42">
        <f>IF(GERSC!G21=0,"",ROUND(GERSC!G21/GERSC!F21,2))</f>
        <v>1.1399999999999999</v>
      </c>
      <c r="E20" s="42">
        <f>IF(GERSC!J21=0,"",ROUND(GERSC!J21/GERSC!I21,2))</f>
        <v>1.07</v>
      </c>
      <c r="F20" s="42">
        <f>IF(GERSC!M21=0,"",ROUND(GERSC!M21/GERSC!L21,2))</f>
        <v>0.95</v>
      </c>
      <c r="G20" s="42">
        <f>IF(GERSC!P21=0,"",ROUND(GERSC!P21/GERSC!O21,2))</f>
        <v>1.06</v>
      </c>
      <c r="H20" s="42">
        <f>IF(GERSC!S21=0,"",ROUND(GERSC!S21/GERSC!R21,2))</f>
        <v>1.02</v>
      </c>
      <c r="I20" s="42">
        <f>IF(GERSC!V21=0,"",ROUND(GERSC!V21/GERSC!U21,2))</f>
        <v>0.97</v>
      </c>
      <c r="J20" s="42">
        <f>IF(GERSC!Y21=0,"",ROUND(GERSC!Y21/GERSC!X21,2))</f>
        <v>1.05</v>
      </c>
    </row>
    <row r="21" spans="1:10" s="35" customFormat="1" ht="19.5" customHeight="1">
      <c r="A21" s="25">
        <v>17</v>
      </c>
      <c r="B21" s="26" t="s">
        <v>30</v>
      </c>
      <c r="C21" s="42">
        <f>IF(GERSC!D22=0,"",ROUND(GERSC!D22/GERSC!C22,2))</f>
        <v>1.04</v>
      </c>
      <c r="D21" s="42">
        <f>IF(GERSC!G22=0,"",ROUND(GERSC!G22/GERSC!F22,2))</f>
        <v>1.01</v>
      </c>
      <c r="E21" s="42">
        <f>IF(GERSC!J22=0,"",ROUND(GERSC!J22/GERSC!I22,2))</f>
        <v>1.02</v>
      </c>
      <c r="F21" s="42">
        <f>IF(GERSC!M22=0,"",ROUND(GERSC!M22/GERSC!L22,2))</f>
        <v>0.99</v>
      </c>
      <c r="G21" s="42">
        <f>IF(GERSC!P22=0,"",ROUND(GERSC!P22/GERSC!O22,2))</f>
        <v>1.02</v>
      </c>
      <c r="H21" s="42">
        <f>IF(GERSC!S22=0,"",ROUND(GERSC!S22/GERSC!R22,2))</f>
        <v>1.1299999999999999</v>
      </c>
      <c r="I21" s="42">
        <f>IF(GERSC!V22=0,"",ROUND(GERSC!V22/GERSC!U22,2))</f>
        <v>1</v>
      </c>
      <c r="J21" s="42">
        <f>IF(GERSC!Y22=0,"",ROUND(GERSC!Y22/GERSC!X22,2))</f>
        <v>1.03</v>
      </c>
    </row>
    <row r="22" spans="1:10" s="35" customFormat="1" ht="19.5" customHeight="1">
      <c r="A22" s="25">
        <v>18</v>
      </c>
      <c r="B22" s="26" t="s">
        <v>31</v>
      </c>
      <c r="C22" s="42">
        <f>IF(GERSC!D23=0,"",ROUND(GERSC!D23/GERSC!C23,2))</f>
        <v>0.91</v>
      </c>
      <c r="D22" s="42">
        <f>IF(GERSC!G23=0,"",ROUND(GERSC!G23/GERSC!F23,2))</f>
        <v>0.93</v>
      </c>
      <c r="E22" s="42">
        <f>IF(GERSC!J23=0,"",ROUND(GERSC!J23/GERSC!I23,2))</f>
        <v>0.94</v>
      </c>
      <c r="F22" s="42">
        <f>IF(GERSC!M23=0,"",ROUND(GERSC!M23/GERSC!L23,2))</f>
        <v>0.43</v>
      </c>
      <c r="G22" s="42">
        <f>IF(GERSC!P23=0,"",ROUND(GERSC!P23/GERSC!O23,2))</f>
        <v>0.83</v>
      </c>
      <c r="H22" s="42">
        <f>IF(GERSC!S23=0,"",ROUND(GERSC!S23/GERSC!R23,2))</f>
        <v>0.6</v>
      </c>
      <c r="I22" s="42">
        <f>IF(GERSC!V23=0,"",ROUND(GERSC!V23/GERSC!U23,2))</f>
        <v>0.54</v>
      </c>
      <c r="J22" s="42">
        <f>IF(GERSC!Y23=0,"",ROUND(GERSC!Y23/GERSC!X23,2))</f>
        <v>0.82</v>
      </c>
    </row>
    <row r="23" spans="1:10" s="35" customFormat="1" ht="19.5" customHeight="1">
      <c r="A23" s="25">
        <v>19</v>
      </c>
      <c r="B23" s="26" t="s">
        <v>54</v>
      </c>
      <c r="C23" s="42" t="str">
        <f>IF(GERSC!D24=0,"",ROUND(GERSC!D24/GERSC!C24,2))</f>
        <v/>
      </c>
      <c r="D23" s="42" t="str">
        <f>IF(GERSC!G24=0,"",ROUND(GERSC!G24/GERSC!F24,2))</f>
        <v/>
      </c>
      <c r="E23" s="42" t="str">
        <f>IF(GERSC!J24=0,"",ROUND(GERSC!J24/GERSC!I24,2))</f>
        <v/>
      </c>
      <c r="F23" s="42" t="str">
        <f>IF(GERSC!M24=0,"",ROUND(GERSC!M24/GERSC!L24,2))</f>
        <v/>
      </c>
      <c r="G23" s="42" t="str">
        <f>IF(GERSC!P24=0,"",ROUND(GERSC!P24/GERSC!O24,2))</f>
        <v/>
      </c>
      <c r="H23" s="42" t="str">
        <f>IF(GERSC!S24=0,"",ROUND(GERSC!S24/GERSC!R24,2))</f>
        <v/>
      </c>
      <c r="I23" s="42" t="str">
        <f>IF(GERSC!V24=0,"",ROUND(GERSC!V24/GERSC!U24,2))</f>
        <v/>
      </c>
      <c r="J23" s="42" t="str">
        <f>IF(GERSC!Y24=0,"",ROUND(GERSC!Y24/GERSC!X24,2))</f>
        <v/>
      </c>
    </row>
    <row r="24" spans="1:10" s="35" customFormat="1" ht="19.5" customHeight="1">
      <c r="A24" s="25">
        <v>20</v>
      </c>
      <c r="B24" s="2" t="s">
        <v>55</v>
      </c>
      <c r="C24" s="42">
        <f>IF(GERSC!D25=0,"",ROUND(GERSC!D25/GERSC!C25,2))</f>
        <v>0.99</v>
      </c>
      <c r="D24" s="42">
        <f>IF(GERSC!G25=0,"",ROUND(GERSC!G25/GERSC!F25,2))</f>
        <v>1</v>
      </c>
      <c r="E24" s="42">
        <f>IF(GERSC!J25=0,"",ROUND(GERSC!J25/GERSC!I25,2))</f>
        <v>0.99</v>
      </c>
      <c r="F24" s="42">
        <f>IF(GERSC!M25=0,"",ROUND(GERSC!M25/GERSC!L25,2))</f>
        <v>0.92</v>
      </c>
      <c r="G24" s="42">
        <f>IF(GERSC!P25=0,"",ROUND(GERSC!P25/GERSC!O25,2))</f>
        <v>0.98</v>
      </c>
      <c r="H24" s="42">
        <f>IF(GERSC!S25=0,"",ROUND(GERSC!S25/GERSC!R25,2))</f>
        <v>0.66</v>
      </c>
      <c r="I24" s="42">
        <f>IF(GERSC!V25=0,"",ROUND(GERSC!V25/GERSC!U25,2))</f>
        <v>0.85</v>
      </c>
      <c r="J24" s="42">
        <f>IF(GERSC!Y25=0,"",ROUND(GERSC!Y25/GERSC!X25,2))</f>
        <v>0.96</v>
      </c>
    </row>
    <row r="25" spans="1:10" s="35" customFormat="1" ht="19.5" customHeight="1">
      <c r="A25" s="25">
        <v>21</v>
      </c>
      <c r="B25" s="26" t="s">
        <v>74</v>
      </c>
      <c r="C25" s="42">
        <f>IF(GERSC!D26=0,"",ROUND(GERSC!D26/GERSC!C26,2))</f>
        <v>1.01</v>
      </c>
      <c r="D25" s="42">
        <f>IF(GERSC!G26=0,"",ROUND(GERSC!G26/GERSC!F26,2))</f>
        <v>1</v>
      </c>
      <c r="E25" s="42">
        <f>IF(GERSC!J26=0,"",ROUND(GERSC!J26/GERSC!I26,2))</f>
        <v>1.01</v>
      </c>
      <c r="F25" s="42">
        <f>IF(GERSC!M26=0,"",ROUND(GERSC!M26/GERSC!L26,2))</f>
        <v>1.05</v>
      </c>
      <c r="G25" s="42">
        <f>IF(GERSC!P26=0,"",ROUND(GERSC!P26/GERSC!O26,2))</f>
        <v>1.01</v>
      </c>
      <c r="H25" s="42">
        <f>IF(GERSC!S26=0,"",ROUND(GERSC!S26/GERSC!R26,2))</f>
        <v>1.1399999999999999</v>
      </c>
      <c r="I25" s="42">
        <f>IF(GERSC!V26=0,"",ROUND(GERSC!V26/GERSC!U26,2))</f>
        <v>1.08</v>
      </c>
      <c r="J25" s="42">
        <f>IF(GERSC!Y26=0,"",ROUND(GERSC!Y26/GERSC!X26,2))</f>
        <v>1.02</v>
      </c>
    </row>
    <row r="26" spans="1:10" s="35" customFormat="1" ht="19.5" customHeight="1">
      <c r="A26" s="25">
        <v>22</v>
      </c>
      <c r="B26" s="26" t="s">
        <v>32</v>
      </c>
      <c r="C26" s="42">
        <f>IF(GERSC!D27=0,"",ROUND(GERSC!D27/GERSC!C27,2))</f>
        <v>0.98</v>
      </c>
      <c r="D26" s="42">
        <f>IF(GERSC!G27=0,"",ROUND(GERSC!G27/GERSC!F27,2))</f>
        <v>0.91</v>
      </c>
      <c r="E26" s="42">
        <f>IF(GERSC!J27=0,"",ROUND(GERSC!J27/GERSC!I27,2))</f>
        <v>0.96</v>
      </c>
      <c r="F26" s="42">
        <f>IF(GERSC!M27=0,"",ROUND(GERSC!M27/GERSC!L27,2))</f>
        <v>0.73</v>
      </c>
      <c r="G26" s="42">
        <f>IF(GERSC!P27=0,"",ROUND(GERSC!P27/GERSC!O27,2))</f>
        <v>0.93</v>
      </c>
      <c r="H26" s="42">
        <f>IF(GERSC!S27=0,"",ROUND(GERSC!S27/GERSC!R27,2))</f>
        <v>0.65</v>
      </c>
      <c r="I26" s="42">
        <f>IF(GERSC!V27=0,"",ROUND(GERSC!V27/GERSC!U27,2))</f>
        <v>0.7</v>
      </c>
      <c r="J26" s="42">
        <f>IF(GERSC!Y27=0,"",ROUND(GERSC!Y27/GERSC!X27,2))</f>
        <v>0.92</v>
      </c>
    </row>
    <row r="27" spans="1:10" s="35" customFormat="1" ht="19.5" customHeight="1">
      <c r="A27" s="25">
        <v>23</v>
      </c>
      <c r="B27" s="26" t="s">
        <v>33</v>
      </c>
      <c r="C27" s="42">
        <f>IF(GERSC!D28=0,"",ROUND(GERSC!D28/GERSC!C28,2))</f>
        <v>0.96</v>
      </c>
      <c r="D27" s="42">
        <f>IF(GERSC!G28=0,"",ROUND(GERSC!G28/GERSC!F28,2))</f>
        <v>1.22</v>
      </c>
      <c r="E27" s="42">
        <f>IF(GERSC!J28=0,"",ROUND(GERSC!J28/GERSC!I28,2))</f>
        <v>1.03</v>
      </c>
      <c r="F27" s="42">
        <f>IF(GERSC!M28=0,"",ROUND(GERSC!M28/GERSC!L28,2))</f>
        <v>1.23</v>
      </c>
      <c r="G27" s="42">
        <f>IF(GERSC!P28=0,"",ROUND(GERSC!P28/GERSC!O28,2))</f>
        <v>1.06</v>
      </c>
      <c r="H27" s="42">
        <f>IF(GERSC!S28=0,"",ROUND(GERSC!S28/GERSC!R28,2))</f>
        <v>1.07</v>
      </c>
      <c r="I27" s="42">
        <f>IF(GERSC!V28=0,"",ROUND(GERSC!V28/GERSC!U28,2))</f>
        <v>1.1499999999999999</v>
      </c>
      <c r="J27" s="42">
        <f>IF(GERSC!Y28=0,"",ROUND(GERSC!Y28/GERSC!X28,2))</f>
        <v>1.05</v>
      </c>
    </row>
    <row r="28" spans="1:10" s="35" customFormat="1" ht="19.5" customHeight="1">
      <c r="A28" s="25">
        <v>24</v>
      </c>
      <c r="B28" s="26" t="s">
        <v>34</v>
      </c>
      <c r="C28" s="42">
        <f>IF(GERSC!D29=0,"",ROUND(GERSC!D29/GERSC!C29,2))</f>
        <v>1.1100000000000001</v>
      </c>
      <c r="D28" s="42">
        <f>IF(GERSC!G29=0,"",ROUND(GERSC!G29/GERSC!F29,2))</f>
        <v>1.03</v>
      </c>
      <c r="E28" s="42">
        <f>IF(GERSC!J29=0,"",ROUND(GERSC!J29/GERSC!I29,2))</f>
        <v>1.08</v>
      </c>
      <c r="F28" s="42">
        <f>IF(GERSC!M29=0,"",ROUND(GERSC!M29/GERSC!L29,2))</f>
        <v>1.04</v>
      </c>
      <c r="G28" s="42">
        <f>IF(GERSC!P29=0,"",ROUND(GERSC!P29/GERSC!O29,2))</f>
        <v>1.07</v>
      </c>
      <c r="H28" s="42">
        <f>IF(GERSC!S29=0,"",ROUND(GERSC!S29/GERSC!R29,2))</f>
        <v>1.28</v>
      </c>
      <c r="I28" s="42">
        <f>IF(GERSC!V29=0,"",ROUND(GERSC!V29/GERSC!U29,2))</f>
        <v>1.1200000000000001</v>
      </c>
      <c r="J28" s="42">
        <f>IF(GERSC!Y29=0,"",ROUND(GERSC!Y29/GERSC!X29,2))</f>
        <v>1.0900000000000001</v>
      </c>
    </row>
    <row r="29" spans="1:10" s="35" customFormat="1" ht="19.5" customHeight="1">
      <c r="A29" s="25">
        <v>25</v>
      </c>
      <c r="B29" s="26" t="s">
        <v>35</v>
      </c>
      <c r="C29" s="42">
        <f>IF(GERSC!D30=0,"",ROUND(GERSC!D30/GERSC!C30,2))</f>
        <v>1.01</v>
      </c>
      <c r="D29" s="42">
        <f>IF(GERSC!G30=0,"",ROUND(GERSC!G30/GERSC!F30,2))</f>
        <v>1.03</v>
      </c>
      <c r="E29" s="42">
        <f>IF(GERSC!J30=0,"",ROUND(GERSC!J30/GERSC!I30,2))</f>
        <v>1.02</v>
      </c>
      <c r="F29" s="42">
        <f>IF(GERSC!M30=0,"",ROUND(GERSC!M30/GERSC!L30,2))</f>
        <v>1.02</v>
      </c>
      <c r="G29" s="42">
        <f>IF(GERSC!P30=0,"",ROUND(GERSC!P30/GERSC!O30,2))</f>
        <v>1.02</v>
      </c>
      <c r="H29" s="42">
        <f>IF(GERSC!S30=0,"",ROUND(GERSC!S30/GERSC!R30,2))</f>
        <v>1.03</v>
      </c>
      <c r="I29" s="42">
        <f>IF(GERSC!V30=0,"",ROUND(GERSC!V30/GERSC!U30,2))</f>
        <v>1.04</v>
      </c>
      <c r="J29" s="42">
        <f>IF(GERSC!Y30=0,"",ROUND(GERSC!Y30/GERSC!X30,2))</f>
        <v>1.02</v>
      </c>
    </row>
    <row r="30" spans="1:10" s="35" customFormat="1" ht="19.5" customHeight="1">
      <c r="A30" s="25">
        <v>26</v>
      </c>
      <c r="B30" s="26" t="s">
        <v>36</v>
      </c>
      <c r="C30" s="42">
        <f>IF(GERSC!D31=0,"",ROUND(GERSC!D31/GERSC!C31,2))</f>
        <v>1.07</v>
      </c>
      <c r="D30" s="42">
        <f>IF(GERSC!G31=0,"",ROUND(GERSC!G31/GERSC!F31,2))</f>
        <v>1.08</v>
      </c>
      <c r="E30" s="42">
        <f>IF(GERSC!J31=0,"",ROUND(GERSC!J31/GERSC!I31,2))</f>
        <v>1.07</v>
      </c>
      <c r="F30" s="42">
        <f>IF(GERSC!M31=0,"",ROUND(GERSC!M31/GERSC!L31,2))</f>
        <v>1.05</v>
      </c>
      <c r="G30" s="42">
        <f>IF(GERSC!P31=0,"",ROUND(GERSC!P31/GERSC!O31,2))</f>
        <v>1.07</v>
      </c>
      <c r="H30" s="42">
        <f>IF(GERSC!S31=0,"",ROUND(GERSC!S31/GERSC!R31,2))</f>
        <v>1.06</v>
      </c>
      <c r="I30" s="42">
        <f>IF(GERSC!V31=0,"",ROUND(GERSC!V31/GERSC!U31,2))</f>
        <v>1.06</v>
      </c>
      <c r="J30" s="42">
        <f>IF(GERSC!Y31=0,"",ROUND(GERSC!Y31/GERSC!X31,2))</f>
        <v>1.07</v>
      </c>
    </row>
    <row r="31" spans="1:10" s="35" customFormat="1" ht="19.5" customHeight="1">
      <c r="A31" s="25">
        <v>27</v>
      </c>
      <c r="B31" s="26" t="s">
        <v>37</v>
      </c>
      <c r="C31" s="42">
        <f>IF(GERSC!D32=0,"",ROUND(GERSC!D32/GERSC!C32,2))</f>
        <v>1.03</v>
      </c>
      <c r="D31" s="42">
        <f>IF(GERSC!G32=0,"",ROUND(GERSC!G32/GERSC!F32,2))</f>
        <v>1.07</v>
      </c>
      <c r="E31" s="42">
        <f>IF(GERSC!J32=0,"",ROUND(GERSC!J32/GERSC!I32,2))</f>
        <v>1.04</v>
      </c>
      <c r="F31" s="42">
        <f>IF(GERSC!M32=0,"",ROUND(GERSC!M32/GERSC!L32,2))</f>
        <v>0.92</v>
      </c>
      <c r="G31" s="42">
        <f>IF(GERSC!P32=0,"",ROUND(GERSC!P32/GERSC!O32,2))</f>
        <v>1.02</v>
      </c>
      <c r="H31" s="42">
        <f>IF(GERSC!S32=0,"",ROUND(GERSC!S32/GERSC!R32,2))</f>
        <v>0.97</v>
      </c>
      <c r="I31" s="42">
        <f>IF(GERSC!V32=0,"",ROUND(GERSC!V32/GERSC!U32,2))</f>
        <v>0.94</v>
      </c>
      <c r="J31" s="42">
        <f>IF(GERSC!Y32=0,"",ROUND(GERSC!Y32/GERSC!X32,2))</f>
        <v>1.02</v>
      </c>
    </row>
    <row r="32" spans="1:10" s="35" customFormat="1" ht="19.5" customHeight="1">
      <c r="A32" s="25">
        <v>28</v>
      </c>
      <c r="B32" s="26" t="s">
        <v>38</v>
      </c>
      <c r="C32" s="42">
        <f>IF(GERSC!D33=0,"",ROUND(GERSC!D33/GERSC!C33,2))</f>
        <v>1</v>
      </c>
      <c r="D32" s="42">
        <f>IF(GERSC!G33=0,"",ROUND(GERSC!G33/GERSC!F33,2))</f>
        <v>1.04</v>
      </c>
      <c r="E32" s="42">
        <f>IF(GERSC!J33=0,"",ROUND(GERSC!J33/GERSC!I33,2))</f>
        <v>1.02</v>
      </c>
      <c r="F32" s="42">
        <f>IF(GERSC!M33=0,"",ROUND(GERSC!M33/GERSC!L33,2))</f>
        <v>1.07</v>
      </c>
      <c r="G32" s="42">
        <f>IF(GERSC!P33=0,"",ROUND(GERSC!P33/GERSC!O33,2))</f>
        <v>1.02</v>
      </c>
      <c r="H32" s="42">
        <f>IF(GERSC!S33=0,"",ROUND(GERSC!S33/GERSC!R33,2))</f>
        <v>0.94</v>
      </c>
      <c r="I32" s="42">
        <f>IF(GERSC!V33=0,"",ROUND(GERSC!V33/GERSC!U33,2))</f>
        <v>1.03</v>
      </c>
      <c r="J32" s="42">
        <f>IF(GERSC!Y33=0,"",ROUND(GERSC!Y33/GERSC!X33,2))</f>
        <v>1.03</v>
      </c>
    </row>
    <row r="33" spans="1:10" s="35" customFormat="1" ht="19.5" customHeight="1">
      <c r="A33" s="25">
        <v>29</v>
      </c>
      <c r="B33" s="26" t="s">
        <v>39</v>
      </c>
      <c r="C33" s="42" t="str">
        <f>IF(GERSC!D34=0,"",ROUND(GERSC!D34/GERSC!C34,2))</f>
        <v/>
      </c>
      <c r="D33" s="42" t="str">
        <f>IF(GERSC!G34=0,"",ROUND(GERSC!G34/GERSC!F34,2))</f>
        <v/>
      </c>
      <c r="E33" s="42" t="str">
        <f>IF(GERSC!J34=0,"",ROUND(GERSC!J34/GERSC!I34,2))</f>
        <v/>
      </c>
      <c r="F33" s="42" t="str">
        <f>IF(GERSC!M34=0,"",ROUND(GERSC!M34/GERSC!L34,2))</f>
        <v/>
      </c>
      <c r="G33" s="42" t="str">
        <f>IF(GERSC!P34=0,"",ROUND(GERSC!P34/GERSC!O34,2))</f>
        <v/>
      </c>
      <c r="H33" s="42" t="str">
        <f>IF(GERSC!S34=0,"",ROUND(GERSC!S34/GERSC!R34,2))</f>
        <v/>
      </c>
      <c r="I33" s="42" t="str">
        <f>IF(GERSC!V34=0,"",ROUND(GERSC!V34/GERSC!U34,2))</f>
        <v/>
      </c>
      <c r="J33" s="42" t="str">
        <f>IF(GERSC!Y34=0,"",ROUND(GERSC!Y34/GERSC!X34,2))</f>
        <v/>
      </c>
    </row>
    <row r="34" spans="1:10" s="35" customFormat="1" ht="19.5" customHeight="1">
      <c r="A34" s="25">
        <v>30</v>
      </c>
      <c r="B34" s="26" t="s">
        <v>40</v>
      </c>
      <c r="C34" s="42">
        <f>IF(GERSC!D35=0,"",ROUND(GERSC!D35/GERSC!C35,2))</f>
        <v>0.94</v>
      </c>
      <c r="D34" s="42">
        <f>IF(GERSC!G35=0,"",ROUND(GERSC!G35/GERSC!F35,2))</f>
        <v>1.04</v>
      </c>
      <c r="E34" s="42">
        <f>IF(GERSC!J35=0,"",ROUND(GERSC!J35/GERSC!I35,2))</f>
        <v>0.98</v>
      </c>
      <c r="F34" s="42">
        <f>IF(GERSC!M35=0,"",ROUND(GERSC!M35/GERSC!L35,2))</f>
        <v>1.05</v>
      </c>
      <c r="G34" s="42">
        <f>IF(GERSC!P35=0,"",ROUND(GERSC!P35/GERSC!O35,2))</f>
        <v>1</v>
      </c>
      <c r="H34" s="42">
        <f>IF(GERSC!S35=0,"",ROUND(GERSC!S35/GERSC!R35,2))</f>
        <v>0.94</v>
      </c>
      <c r="I34" s="42">
        <f>IF(GERSC!V35=0,"",ROUND(GERSC!V35/GERSC!U35,2))</f>
        <v>1.01</v>
      </c>
      <c r="J34" s="42">
        <f>IF(GERSC!Y35=0,"",ROUND(GERSC!Y35/GERSC!X35,2))</f>
        <v>0.99</v>
      </c>
    </row>
    <row r="35" spans="1:10" s="35" customFormat="1" ht="19.5" customHeight="1">
      <c r="A35" s="25">
        <v>31</v>
      </c>
      <c r="B35" s="26" t="s">
        <v>41</v>
      </c>
      <c r="C35" s="42">
        <f>IF(GERSC!D36=0,"",ROUND(GERSC!D36/GERSC!C36,2))</f>
        <v>0.91</v>
      </c>
      <c r="D35" s="42">
        <f>IF(GERSC!G36=0,"",ROUND(GERSC!G36/GERSC!F36,2))</f>
        <v>0.77</v>
      </c>
      <c r="E35" s="42">
        <f>IF(GERSC!J36=0,"",ROUND(GERSC!J36/GERSC!I36,2))</f>
        <v>0.85</v>
      </c>
      <c r="F35" s="42">
        <f>IF(GERSC!M36=0,"",ROUND(GERSC!M36/GERSC!L36,2))</f>
        <v>1.28</v>
      </c>
      <c r="G35" s="42">
        <f>IF(GERSC!P36=0,"",ROUND(GERSC!P36/GERSC!O36,2))</f>
        <v>0.92</v>
      </c>
      <c r="H35" s="42">
        <f>IF(GERSC!S36=0,"",ROUND(GERSC!S36/GERSC!R36,2))</f>
        <v>0.97</v>
      </c>
      <c r="I35" s="42">
        <f>IF(GERSC!V36=0,"",ROUND(GERSC!V36/GERSC!U36,2))</f>
        <v>1.1100000000000001</v>
      </c>
      <c r="J35" s="42">
        <f>IF(GERSC!Y36=0,"",ROUND(GERSC!Y36/GERSC!X36,2))</f>
        <v>0.91</v>
      </c>
    </row>
    <row r="36" spans="1:10" s="35" customFormat="1" ht="19.5" customHeight="1">
      <c r="A36" s="25">
        <v>32</v>
      </c>
      <c r="B36" s="26" t="s">
        <v>42</v>
      </c>
      <c r="C36" s="42">
        <f>IF(GERSC!D37=0,"",ROUND(GERSC!D37/GERSC!C37,2))</f>
        <v>0.87</v>
      </c>
      <c r="D36" s="42">
        <f>IF(GERSC!G37=0,"",ROUND(GERSC!G37/GERSC!F37,2))</f>
        <v>0.92</v>
      </c>
      <c r="E36" s="42">
        <f>IF(GERSC!J37=0,"",ROUND(GERSC!J37/GERSC!I37,2))</f>
        <v>0.88</v>
      </c>
      <c r="F36" s="42">
        <f>IF(GERSC!M37=0,"",ROUND(GERSC!M37/GERSC!L37,2))</f>
        <v>0.97</v>
      </c>
      <c r="G36" s="42">
        <f>IF(GERSC!P37=0,"",ROUND(GERSC!P37/GERSC!O37,2))</f>
        <v>0.9</v>
      </c>
      <c r="H36" s="42">
        <f>IF(GERSC!S37=0,"",ROUND(GERSC!S37/GERSC!R37,2))</f>
        <v>1.32</v>
      </c>
      <c r="I36" s="42">
        <f>IF(GERSC!V37=0,"",ROUND(GERSC!V37/GERSC!U37,2))</f>
        <v>1.1200000000000001</v>
      </c>
      <c r="J36" s="42">
        <f>IF(GERSC!Y37=0,"",ROUND(GERSC!Y37/GERSC!X37,2))</f>
        <v>0.96</v>
      </c>
    </row>
    <row r="37" spans="1:10" s="35" customFormat="1" ht="19.5" customHeight="1">
      <c r="A37" s="25">
        <v>33</v>
      </c>
      <c r="B37" s="26" t="s">
        <v>43</v>
      </c>
      <c r="C37" s="42">
        <f>IF(GERSC!D38=0,"",ROUND(GERSC!D38/GERSC!C38,2))</f>
        <v>1.03</v>
      </c>
      <c r="D37" s="42">
        <f>IF(GERSC!G38=0,"",ROUND(GERSC!G38/GERSC!F38,2))</f>
        <v>1.1499999999999999</v>
      </c>
      <c r="E37" s="42">
        <f>IF(GERSC!J38=0,"",ROUND(GERSC!J38/GERSC!I38,2))</f>
        <v>1.07</v>
      </c>
      <c r="F37" s="42">
        <f>IF(GERSC!M38=0,"",ROUND(GERSC!M38/GERSC!L38,2))</f>
        <v>1.1200000000000001</v>
      </c>
      <c r="G37" s="42">
        <f>IF(GERSC!P38=0,"",ROUND(GERSC!P38/GERSC!O38,2))</f>
        <v>1.08</v>
      </c>
      <c r="H37" s="42">
        <f>IF(GERSC!S38=0,"",ROUND(GERSC!S38/GERSC!R38,2))</f>
        <v>1.22</v>
      </c>
      <c r="I37" s="42">
        <f>IF(GERSC!V38=0,"",ROUND(GERSC!V38/GERSC!U38,2))</f>
        <v>1.17</v>
      </c>
      <c r="J37" s="42">
        <f>IF(GERSC!Y38=0,"",ROUND(GERSC!Y38/GERSC!X38,2))</f>
        <v>1.1000000000000001</v>
      </c>
    </row>
    <row r="38" spans="1:10" s="35" customFormat="1" ht="19.5" customHeight="1">
      <c r="A38" s="25">
        <v>34</v>
      </c>
      <c r="B38" s="26" t="s">
        <v>44</v>
      </c>
      <c r="C38" s="42" t="str">
        <f>IF(GERSC!D39=0,"",ROUND(GERSC!D39/GERSC!C39,2))</f>
        <v/>
      </c>
      <c r="D38" s="42" t="str">
        <f>IF(GERSC!G39=0,"",ROUND(GERSC!G39/GERSC!F39,2))</f>
        <v/>
      </c>
      <c r="E38" s="42" t="str">
        <f>IF(GERSC!J39=0,"",ROUND(GERSC!J39/GERSC!I39,2))</f>
        <v/>
      </c>
      <c r="F38" s="42" t="str">
        <f>IF(GERSC!M39=0,"",ROUND(GERSC!M39/GERSC!L39,2))</f>
        <v/>
      </c>
      <c r="G38" s="42" t="str">
        <f>IF(GERSC!P39=0,"",ROUND(GERSC!P39/GERSC!O39,2))</f>
        <v/>
      </c>
      <c r="H38" s="42" t="str">
        <f>IF(GERSC!S39=0,"",ROUND(GERSC!S39/GERSC!R39,2))</f>
        <v/>
      </c>
      <c r="I38" s="42" t="str">
        <f>IF(GERSC!V39=0,"",ROUND(GERSC!V39/GERSC!U39,2))</f>
        <v/>
      </c>
      <c r="J38" s="42" t="str">
        <f>IF(GERSC!Y39=0,"",ROUND(GERSC!Y39/GERSC!X39,2))</f>
        <v/>
      </c>
    </row>
    <row r="39" spans="1:10" s="35" customFormat="1" ht="19.5" customHeight="1">
      <c r="A39" s="25">
        <v>35</v>
      </c>
      <c r="B39" s="26" t="s">
        <v>45</v>
      </c>
      <c r="C39" s="42">
        <f>IF(GERSC!D40=0,"",ROUND(GERSC!D40/GERSC!C40,2))</f>
        <v>0.98</v>
      </c>
      <c r="D39" s="42">
        <f>IF(GERSC!G40=0,"",ROUND(GERSC!G40/GERSC!F40,2))</f>
        <v>1</v>
      </c>
      <c r="E39" s="42">
        <f>IF(GERSC!J40=0,"",ROUND(GERSC!J40/GERSC!I40,2))</f>
        <v>0.98</v>
      </c>
      <c r="F39" s="42">
        <f>IF(GERSC!M40=0,"",ROUND(GERSC!M40/GERSC!L40,2))</f>
        <v>0.99</v>
      </c>
      <c r="G39" s="42">
        <f>IF(GERSC!P40=0,"",ROUND(GERSC!P40/GERSC!O40,2))</f>
        <v>0.99</v>
      </c>
      <c r="H39" s="42">
        <f>IF(GERSC!S40=0,"",ROUND(GERSC!S40/GERSC!R40,2))</f>
        <v>1.22</v>
      </c>
      <c r="I39" s="42">
        <f>IF(GERSC!V40=0,"",ROUND(GERSC!V40/GERSC!U40,2))</f>
        <v>1.06</v>
      </c>
      <c r="J39" s="42">
        <f>IF(GERSC!Y40=0,"",ROUND(GERSC!Y40/GERSC!X40,2))</f>
        <v>1.01</v>
      </c>
    </row>
    <row r="40" spans="1:10" s="87" customFormat="1" ht="19.5" customHeight="1">
      <c r="A40" s="286" t="s">
        <v>46</v>
      </c>
      <c r="B40" s="286"/>
      <c r="C40" s="96">
        <f>IF(GERSC!D41=0,"",ROUND(GERSC!D41/GERSC!C41,2))</f>
        <v>1.02</v>
      </c>
      <c r="D40" s="96">
        <f>IF(GERSC!G41=0,"",ROUND(GERSC!G41/GERSC!F41,2))</f>
        <v>1.02</v>
      </c>
      <c r="E40" s="96">
        <f>IF(GERSC!J41=0,"",ROUND(GERSC!J41/GERSC!I41,2))</f>
        <v>1.02</v>
      </c>
      <c r="F40" s="96">
        <f>IF(GERSC!M41=0,"",ROUND(GERSC!M41/GERSC!L41,2))</f>
        <v>0.98</v>
      </c>
      <c r="G40" s="96">
        <f>IF(GERSC!P41=0,"",ROUND(GERSC!P41/GERSC!O41,2))</f>
        <v>1.01</v>
      </c>
      <c r="H40" s="96">
        <f>IF(GERSC!S41=0,"",ROUND(GERSC!S41/GERSC!R41,2))</f>
        <v>1</v>
      </c>
      <c r="I40" s="96">
        <f>IF(GERSC!V41=0,"",ROUND(GERSC!V41/GERSC!U41,2))</f>
        <v>0.99</v>
      </c>
      <c r="J40" s="96">
        <f>IF(GERSC!Y41=0,"",ROUND(GERSC!Y41/GERSC!X41,2))</f>
        <v>1.02</v>
      </c>
    </row>
  </sheetData>
  <mergeCells count="1">
    <mergeCell ref="A40:B40"/>
  </mergeCells>
  <printOptions horizontalCentered="1"/>
  <pageMargins left="0.2" right="0.22" top="0.44" bottom="0.59" header="0.2" footer="0.33"/>
  <pageSetup paperSize="9" scale="98" firstPageNumber="61" orientation="portrait" useFirstPageNumber="1" r:id="rId1"/>
  <headerFooter alignWithMargins="0">
    <oddFooter>&amp;LSTATISTICS OF SCHOOL EDUCATION 2011-12&amp;R&amp;P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J40"/>
  <sheetViews>
    <sheetView view="pageBreakPreview" topLeftCell="A31" zoomScaleSheetLayoutView="100" workbookViewId="0">
      <selection activeCell="J42" sqref="J42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31" customFormat="1" ht="24.75" customHeight="1">
      <c r="A1" s="29"/>
      <c r="B1" s="30"/>
      <c r="C1" s="23" t="s">
        <v>142</v>
      </c>
      <c r="D1" s="23"/>
      <c r="E1" s="23"/>
      <c r="F1" s="23"/>
      <c r="G1" s="23"/>
      <c r="H1" s="23"/>
      <c r="I1" s="23"/>
      <c r="J1" s="23"/>
    </row>
    <row r="2" spans="1:10" ht="15.75" customHeight="1">
      <c r="A2" s="24"/>
      <c r="B2" s="24"/>
      <c r="C2" s="139" t="s">
        <v>80</v>
      </c>
      <c r="D2" s="32"/>
      <c r="E2" s="32"/>
      <c r="F2" s="32"/>
      <c r="G2" s="32"/>
      <c r="H2" s="32"/>
      <c r="I2" s="32"/>
      <c r="J2" s="32"/>
    </row>
    <row r="3" spans="1:10" s="33" customFormat="1" ht="37.5" customHeight="1">
      <c r="A3" s="98" t="s">
        <v>67</v>
      </c>
      <c r="B3" s="98" t="s">
        <v>65</v>
      </c>
      <c r="C3" s="99" t="s">
        <v>118</v>
      </c>
      <c r="D3" s="99" t="s">
        <v>112</v>
      </c>
      <c r="E3" s="99" t="s">
        <v>119</v>
      </c>
      <c r="F3" s="99" t="s">
        <v>113</v>
      </c>
      <c r="G3" s="99" t="s">
        <v>114</v>
      </c>
      <c r="H3" s="99" t="s">
        <v>115</v>
      </c>
      <c r="I3" s="99" t="s">
        <v>116</v>
      </c>
      <c r="J3" s="98" t="s">
        <v>117</v>
      </c>
    </row>
    <row r="4" spans="1:10" s="34" customFormat="1" ht="13.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</row>
    <row r="5" spans="1:10" s="35" customFormat="1" ht="19.5" customHeight="1">
      <c r="A5" s="25">
        <v>1</v>
      </c>
      <c r="B5" s="26" t="s">
        <v>16</v>
      </c>
      <c r="C5" s="42">
        <f>IF(GERST!D6=0,"",ROUND(GERST!D6/GERST!C6,2))</f>
        <v>1.01</v>
      </c>
      <c r="D5" s="42">
        <f>IF(GERST!G6=0,"",ROUND(GERST!G6/GERST!F6,2))</f>
        <v>0.97</v>
      </c>
      <c r="E5" s="42">
        <f>IF(GERST!J6=0,"",ROUND(GERST!J6/GERST!I6,2))</f>
        <v>1</v>
      </c>
      <c r="F5" s="42">
        <f>IF(GERST!M6=0,"",ROUND(GERST!M6/GERST!L6,2))</f>
        <v>0.97</v>
      </c>
      <c r="G5" s="42">
        <f>IF(GERST!P6=0,"",ROUND(GERST!P6/GERST!O6,2))</f>
        <v>1</v>
      </c>
      <c r="H5" s="42">
        <f>IF(GERST!S6=0,"",ROUND(GERST!S6/GERST!R6,2))</f>
        <v>0.82</v>
      </c>
      <c r="I5" s="42">
        <f>IF(GERST!V6=0,"",ROUND(GERST!V6/GERST!U6,2))</f>
        <v>0.91</v>
      </c>
      <c r="J5" s="42">
        <f>IF(GERST!Y6=0,"",ROUND(GERST!Y6/GERST!X6,2))</f>
        <v>0.99</v>
      </c>
    </row>
    <row r="6" spans="1:10" s="35" customFormat="1" ht="19.5" customHeight="1">
      <c r="A6" s="25">
        <v>2</v>
      </c>
      <c r="B6" s="26" t="s">
        <v>17</v>
      </c>
      <c r="C6" s="42">
        <f>IF(GERST!D7=0,"",ROUND(GERST!D7/GERST!C7,2))</f>
        <v>0.98</v>
      </c>
      <c r="D6" s="42">
        <f>IF(GERST!G7=0,"",ROUND(GERST!G7/GERST!F7,2))</f>
        <v>0.96</v>
      </c>
      <c r="E6" s="42">
        <f>IF(GERST!J7=0,"",ROUND(GERST!J7/GERST!I7,2))</f>
        <v>0.97</v>
      </c>
      <c r="F6" s="42">
        <f>IF(GERST!M7=0,"",ROUND(GERST!M7/GERST!L7,2))</f>
        <v>0.92</v>
      </c>
      <c r="G6" s="42">
        <f>IF(GERST!P7=0,"",ROUND(GERST!P7/GERST!O7,2))</f>
        <v>0.96</v>
      </c>
      <c r="H6" s="42">
        <f>IF(GERST!S7=0,"",ROUND(GERST!S7/GERST!R7,2))</f>
        <v>0.87</v>
      </c>
      <c r="I6" s="42">
        <f>IF(GERST!V7=0,"",ROUND(GERST!V7/GERST!U7,2))</f>
        <v>0.9</v>
      </c>
      <c r="J6" s="42">
        <f>IF(GERST!Y7=0,"",ROUND(GERST!Y7/GERST!X7,2))</f>
        <v>0.95</v>
      </c>
    </row>
    <row r="7" spans="1:10" s="35" customFormat="1" ht="19.5" customHeight="1">
      <c r="A7" s="25">
        <v>3</v>
      </c>
      <c r="B7" s="26" t="s">
        <v>48</v>
      </c>
      <c r="C7" s="42">
        <f>IF(GERST!D8=0,"",ROUND(GERST!D8/GERST!C8,2))</f>
        <v>1.04</v>
      </c>
      <c r="D7" s="42">
        <f>IF(GERST!G8=0,"",ROUND(GERST!G8/GERST!F8,2))</f>
        <v>1</v>
      </c>
      <c r="E7" s="42">
        <f>IF(GERST!J8=0,"",ROUND(GERST!J8/GERST!I8,2))</f>
        <v>1.03</v>
      </c>
      <c r="F7" s="42">
        <f>IF(GERST!M8=0,"",ROUND(GERST!M8/GERST!L8,2))</f>
        <v>1.04</v>
      </c>
      <c r="G7" s="42">
        <f>IF(GERST!P8=0,"",ROUND(GERST!P8/GERST!O8,2))</f>
        <v>1.03</v>
      </c>
      <c r="H7" s="42">
        <f>IF(GERST!S8=0,"",ROUND(GERST!S8/GERST!R8,2))</f>
        <v>1.02</v>
      </c>
      <c r="I7" s="42">
        <f>IF(GERST!V8=0,"",ROUND(GERST!V8/GERST!U8,2))</f>
        <v>1.05</v>
      </c>
      <c r="J7" s="42">
        <f>IF(GERST!Y8=0,"",ROUND(GERST!Y8/GERST!X8,2))</f>
        <v>1.03</v>
      </c>
    </row>
    <row r="8" spans="1:10" s="35" customFormat="1" ht="19.5" customHeight="1">
      <c r="A8" s="25">
        <v>4</v>
      </c>
      <c r="B8" s="26" t="s">
        <v>18</v>
      </c>
      <c r="C8" s="42">
        <f>IF(GERST!D9=0,"",ROUND(GERST!D9/GERST!C9,2))</f>
        <v>0.9</v>
      </c>
      <c r="D8" s="42">
        <f>IF(GERST!G9=0,"",ROUND(GERST!G9/GERST!F9,2))</f>
        <v>0.9</v>
      </c>
      <c r="E8" s="42">
        <f>IF(GERST!J9=0,"",ROUND(GERST!J9/GERST!I9,2))</f>
        <v>0.9</v>
      </c>
      <c r="F8" s="42">
        <f>IF(GERST!M9=0,"",ROUND(GERST!M9/GERST!L9,2))</f>
        <v>0.85</v>
      </c>
      <c r="G8" s="42">
        <f>IF(GERST!P9=0,"",ROUND(GERST!P9/GERST!O9,2))</f>
        <v>0.9</v>
      </c>
      <c r="H8" s="42">
        <f>IF(GERST!S9=0,"",ROUND(GERST!S9/GERST!R9,2))</f>
        <v>0.78</v>
      </c>
      <c r="I8" s="42">
        <f>IF(GERST!V9=0,"",ROUND(GERST!V9/GERST!U9,2))</f>
        <v>0.83</v>
      </c>
      <c r="J8" s="42">
        <f>IF(GERST!Y9=0,"",ROUND(GERST!Y9/GERST!X9,2))</f>
        <v>0.91</v>
      </c>
    </row>
    <row r="9" spans="1:10" s="35" customFormat="1" ht="19.5" customHeight="1">
      <c r="A9" s="25">
        <v>5</v>
      </c>
      <c r="B9" s="28" t="s">
        <v>19</v>
      </c>
      <c r="C9" s="42">
        <f>IF(GERST!D10=0,"",ROUND(GERST!D10/GERST!C10,2))</f>
        <v>0.96</v>
      </c>
      <c r="D9" s="42">
        <f>IF(GERST!G10=0,"",ROUND(GERST!G10/GERST!F10,2))</f>
        <v>0.91</v>
      </c>
      <c r="E9" s="42">
        <f>IF(GERST!J10=0,"",ROUND(GERST!J10/GERST!I10,2))</f>
        <v>0.95</v>
      </c>
      <c r="F9" s="42">
        <f>IF(GERST!M10=0,"",ROUND(GERST!M10/GERST!L10,2))</f>
        <v>0.97</v>
      </c>
      <c r="G9" s="42">
        <f>IF(GERST!P10=0,"",ROUND(GERST!P10/GERST!O10,2))</f>
        <v>0.95</v>
      </c>
      <c r="H9" s="42">
        <f>IF(GERST!S10=0,"",ROUND(GERST!S10/GERST!R10,2))</f>
        <v>0.83</v>
      </c>
      <c r="I9" s="42">
        <f>IF(GERST!V10=0,"",ROUND(GERST!V10/GERST!U10,2))</f>
        <v>0.92</v>
      </c>
      <c r="J9" s="42">
        <f>IF(GERST!Y10=0,"",ROUND(GERST!Y10/GERST!X10,2))</f>
        <v>0.94</v>
      </c>
    </row>
    <row r="10" spans="1:10" s="35" customFormat="1" ht="19.5" customHeight="1">
      <c r="A10" s="25">
        <v>6</v>
      </c>
      <c r="B10" s="26" t="s">
        <v>20</v>
      </c>
      <c r="C10" s="42">
        <f>IF(GERST!D11=0,"",ROUND(GERST!D11/GERST!C11,2))</f>
        <v>0.99</v>
      </c>
      <c r="D10" s="42">
        <f>IF(GERST!G11=0,"",ROUND(GERST!G11/GERST!F11,2))</f>
        <v>0.98</v>
      </c>
      <c r="E10" s="42">
        <f>IF(GERST!J11=0,"",ROUND(GERST!J11/GERST!I11,2))</f>
        <v>0.98</v>
      </c>
      <c r="F10" s="42">
        <f>IF(GERST!M11=0,"",ROUND(GERST!M11/GERST!L11,2))</f>
        <v>1.08</v>
      </c>
      <c r="G10" s="42">
        <f>IF(GERST!P11=0,"",ROUND(GERST!P11/GERST!O11,2))</f>
        <v>1</v>
      </c>
      <c r="H10" s="42">
        <f>IF(GERST!S11=0,"",ROUND(GERST!S11/GERST!R11,2))</f>
        <v>1.1000000000000001</v>
      </c>
      <c r="I10" s="42">
        <f>IF(GERST!V11=0,"",ROUND(GERST!V11/GERST!U11,2))</f>
        <v>1.07</v>
      </c>
      <c r="J10" s="42">
        <f>IF(GERST!Y11=0,"",ROUND(GERST!Y11/GERST!X11,2))</f>
        <v>1.01</v>
      </c>
    </row>
    <row r="11" spans="1:10" s="35" customFormat="1" ht="19.5" customHeight="1">
      <c r="A11" s="25">
        <v>7</v>
      </c>
      <c r="B11" s="26" t="s">
        <v>21</v>
      </c>
      <c r="C11" s="42">
        <f>IF(GERST!D12=0,"",ROUND(GERST!D12/GERST!C12,2))</f>
        <v>0.98</v>
      </c>
      <c r="D11" s="42">
        <f>IF(GERST!G12=0,"",ROUND(GERST!G12/GERST!F12,2))</f>
        <v>0.93</v>
      </c>
      <c r="E11" s="42">
        <f>IF(GERST!J12=0,"",ROUND(GERST!J12/GERST!I12,2))</f>
        <v>0.97</v>
      </c>
      <c r="F11" s="42">
        <f>IF(GERST!M12=0,"",ROUND(GERST!M12/GERST!L12,2))</f>
        <v>0.89</v>
      </c>
      <c r="G11" s="42">
        <f>IF(GERST!P12=0,"",ROUND(GERST!P12/GERST!O12,2))</f>
        <v>0.96</v>
      </c>
      <c r="H11" s="42">
        <f>IF(GERST!S12=0,"",ROUND(GERST!S12/GERST!R12,2))</f>
        <v>0.88</v>
      </c>
      <c r="I11" s="42">
        <f>IF(GERST!V12=0,"",ROUND(GERST!V12/GERST!U12,2))</f>
        <v>0.89</v>
      </c>
      <c r="J11" s="42">
        <f>IF(GERST!Y12=0,"",ROUND(GERST!Y12/GERST!X12,2))</f>
        <v>0.96</v>
      </c>
    </row>
    <row r="12" spans="1:10" s="35" customFormat="1" ht="19.5" customHeight="1">
      <c r="A12" s="25">
        <v>8</v>
      </c>
      <c r="B12" s="26" t="s">
        <v>22</v>
      </c>
      <c r="C12" s="42" t="str">
        <f>IF(GERST!D13=0,"",ROUND(GERST!D13/GERST!C13,2))</f>
        <v/>
      </c>
      <c r="D12" s="42" t="str">
        <f>IF(GERST!G13=0,"",ROUND(GERST!G13/GERST!F13,2))</f>
        <v/>
      </c>
      <c r="E12" s="42" t="str">
        <f>IF(GERST!J13=0,"",ROUND(GERST!J13/GERST!I13,2))</f>
        <v/>
      </c>
      <c r="F12" s="42" t="str">
        <f>IF(GERST!M13=0,"",ROUND(GERST!M13/GERST!L13,2))</f>
        <v/>
      </c>
      <c r="G12" s="42" t="str">
        <f>IF(GERST!P13=0,"",ROUND(GERST!P13/GERST!O13,2))</f>
        <v/>
      </c>
      <c r="H12" s="42" t="str">
        <f>IF(GERST!S13=0,"",ROUND(GERST!S13/GERST!R13,2))</f>
        <v/>
      </c>
      <c r="I12" s="42" t="str">
        <f>IF(GERST!V13=0,"",ROUND(GERST!V13/GERST!U13,2))</f>
        <v/>
      </c>
      <c r="J12" s="42" t="str">
        <f>IF(GERST!Y13=0,"",ROUND(GERST!Y13/GERST!X13,2))</f>
        <v/>
      </c>
    </row>
    <row r="13" spans="1:10" s="35" customFormat="1" ht="19.5" customHeight="1">
      <c r="A13" s="25">
        <v>9</v>
      </c>
      <c r="B13" s="26" t="s">
        <v>23</v>
      </c>
      <c r="C13" s="42">
        <f>IF(GERST!D14=0,"",ROUND(GERST!D14/GERST!C14,2))</f>
        <v>1.03</v>
      </c>
      <c r="D13" s="42">
        <f>IF(GERST!G14=0,"",ROUND(GERST!G14/GERST!F14,2))</f>
        <v>0.99</v>
      </c>
      <c r="E13" s="42">
        <f>IF(GERST!J14=0,"",ROUND(GERST!J14/GERST!I14,2))</f>
        <v>1.02</v>
      </c>
      <c r="F13" s="42">
        <f>IF(GERST!M14=0,"",ROUND(GERST!M14/GERST!L14,2))</f>
        <v>0.94</v>
      </c>
      <c r="G13" s="42">
        <f>IF(GERST!P14=0,"",ROUND(GERST!P14/GERST!O14,2))</f>
        <v>1</v>
      </c>
      <c r="H13" s="42">
        <f>IF(GERST!S14=0,"",ROUND(GERST!S14/GERST!R14,2))</f>
        <v>0.92</v>
      </c>
      <c r="I13" s="42">
        <f>IF(GERST!V14=0,"",ROUND(GERST!V14/GERST!U14,2))</f>
        <v>0.93</v>
      </c>
      <c r="J13" s="42">
        <f>IF(GERST!Y14=0,"",ROUND(GERST!Y14/GERST!X14,2))</f>
        <v>0.99</v>
      </c>
    </row>
    <row r="14" spans="1:10" s="35" customFormat="1" ht="19.5" customHeight="1">
      <c r="A14" s="25">
        <v>10</v>
      </c>
      <c r="B14" s="26" t="s">
        <v>24</v>
      </c>
      <c r="C14" s="42">
        <f>IF(GERST!D15=0,"",ROUND(GERST!D15/GERST!C15,2))</f>
        <v>0.91</v>
      </c>
      <c r="D14" s="42">
        <f>IF(GERST!G15=0,"",ROUND(GERST!G15/GERST!F15,2))</f>
        <v>0.89</v>
      </c>
      <c r="E14" s="42">
        <f>IF(GERST!J15=0,"",ROUND(GERST!J15/GERST!I15,2))</f>
        <v>0.91</v>
      </c>
      <c r="F14" s="42">
        <f>IF(GERST!M15=0,"",ROUND(GERST!M15/GERST!L15,2))</f>
        <v>0.72</v>
      </c>
      <c r="G14" s="42">
        <f>IF(GERST!P15=0,"",ROUND(GERST!P15/GERST!O15,2))</f>
        <v>0.89</v>
      </c>
      <c r="H14" s="42">
        <f>IF(GERST!S15=0,"",ROUND(GERST!S15/GERST!R15,2))</f>
        <v>0.72</v>
      </c>
      <c r="I14" s="42">
        <f>IF(GERST!V15=0,"",ROUND(GERST!V15/GERST!U15,2))</f>
        <v>0.72</v>
      </c>
      <c r="J14" s="42">
        <f>IF(GERST!Y15=0,"",ROUND(GERST!Y15/GERST!X15,2))</f>
        <v>0.89</v>
      </c>
    </row>
    <row r="15" spans="1:10" s="35" customFormat="1" ht="19.5" customHeight="1">
      <c r="A15" s="25">
        <v>11</v>
      </c>
      <c r="B15" s="26" t="s">
        <v>52</v>
      </c>
      <c r="C15" s="42">
        <f>IF(GERST!D16=0,"",ROUND(GERST!D16/GERST!C16,2))</f>
        <v>0.98</v>
      </c>
      <c r="D15" s="42">
        <f>IF(GERST!G16=0,"",ROUND(GERST!G16/GERST!F16,2))</f>
        <v>0.99</v>
      </c>
      <c r="E15" s="42">
        <f>IF(GERST!J16=0,"",ROUND(GERST!J16/GERST!I16,2))</f>
        <v>0.98</v>
      </c>
      <c r="F15" s="42">
        <f>IF(GERST!M16=0,"",ROUND(GERST!M16/GERST!L16,2))</f>
        <v>0.96</v>
      </c>
      <c r="G15" s="42">
        <f>IF(GERST!P16=0,"",ROUND(GERST!P16/GERST!O16,2))</f>
        <v>0.99</v>
      </c>
      <c r="H15" s="42">
        <f>IF(GERST!S16=0,"",ROUND(GERST!S16/GERST!R16,2))</f>
        <v>0.91</v>
      </c>
      <c r="I15" s="42">
        <f>IF(GERST!V16=0,"",ROUND(GERST!V16/GERST!U16,2))</f>
        <v>0.96</v>
      </c>
      <c r="J15" s="42">
        <f>IF(GERST!Y16=0,"",ROUND(GERST!Y16/GERST!X16,2))</f>
        <v>0.99</v>
      </c>
    </row>
    <row r="16" spans="1:10" s="35" customFormat="1" ht="19.5" customHeight="1">
      <c r="A16" s="25">
        <v>12</v>
      </c>
      <c r="B16" s="26" t="s">
        <v>25</v>
      </c>
      <c r="C16" s="42">
        <f>IF(GERST!D17=0,"",ROUND(GERST!D17/GERST!C17,2))</f>
        <v>0.97</v>
      </c>
      <c r="D16" s="42">
        <f>IF(GERST!G17=0,"",ROUND(GERST!G17/GERST!F17,2))</f>
        <v>0.95</v>
      </c>
      <c r="E16" s="42">
        <f>IF(GERST!J17=0,"",ROUND(GERST!J17/GERST!I17,2))</f>
        <v>0.96</v>
      </c>
      <c r="F16" s="42">
        <f>IF(GERST!M17=0,"",ROUND(GERST!M17/GERST!L17,2))</f>
        <v>0.96</v>
      </c>
      <c r="G16" s="42">
        <f>IF(GERST!P17=0,"",ROUND(GERST!P17/GERST!O17,2))</f>
        <v>0.96</v>
      </c>
      <c r="H16" s="42">
        <f>IF(GERST!S17=0,"",ROUND(GERST!S17/GERST!R17,2))</f>
        <v>0.93</v>
      </c>
      <c r="I16" s="42">
        <f>IF(GERST!V17=0,"",ROUND(GERST!V17/GERST!U17,2))</f>
        <v>0.96</v>
      </c>
      <c r="J16" s="42">
        <f>IF(GERST!Y17=0,"",ROUND(GERST!Y17/GERST!X17,2))</f>
        <v>0.97</v>
      </c>
    </row>
    <row r="17" spans="1:10" s="35" customFormat="1" ht="19.5" customHeight="1">
      <c r="A17" s="25">
        <v>13</v>
      </c>
      <c r="B17" s="26" t="s">
        <v>26</v>
      </c>
      <c r="C17" s="42">
        <f>IF(GERST!D18=0,"",ROUND(GERST!D18/GERST!C18,2))</f>
        <v>0.97</v>
      </c>
      <c r="D17" s="42">
        <f>IF(GERST!G18=0,"",ROUND(GERST!G18/GERST!F18,2))</f>
        <v>0.96</v>
      </c>
      <c r="E17" s="42">
        <f>IF(GERST!J18=0,"",ROUND(GERST!J18/GERST!I18,2))</f>
        <v>0.97</v>
      </c>
      <c r="F17" s="42">
        <f>IF(GERST!M18=0,"",ROUND(GERST!M18/GERST!L18,2))</f>
        <v>1.04</v>
      </c>
      <c r="G17" s="42">
        <f>IF(GERST!P18=0,"",ROUND(GERST!P18/GERST!O18,2))</f>
        <v>0.98</v>
      </c>
      <c r="H17" s="42">
        <f>IF(GERST!S18=0,"",ROUND(GERST!S18/GERST!R18,2))</f>
        <v>1.2</v>
      </c>
      <c r="I17" s="42">
        <f>IF(GERST!V18=0,"",ROUND(GERST!V18/GERST!U18,2))</f>
        <v>1.1000000000000001</v>
      </c>
      <c r="J17" s="42">
        <f>IF(GERST!Y18=0,"",ROUND(GERST!Y18/GERST!X18,2))</f>
        <v>0.99</v>
      </c>
    </row>
    <row r="18" spans="1:10" s="35" customFormat="1" ht="19.5" customHeight="1">
      <c r="A18" s="25">
        <v>14</v>
      </c>
      <c r="B18" s="26" t="s">
        <v>27</v>
      </c>
      <c r="C18" s="42">
        <f>IF(GERST!D19=0,"",ROUND(GERST!D19/GERST!C19,2))</f>
        <v>1</v>
      </c>
      <c r="D18" s="42">
        <f>IF(GERST!G19=0,"",ROUND(GERST!G19/GERST!F19,2))</f>
        <v>1.04</v>
      </c>
      <c r="E18" s="42">
        <f>IF(GERST!J19=0,"",ROUND(GERST!J19/GERST!I19,2))</f>
        <v>1.01</v>
      </c>
      <c r="F18" s="42">
        <f>IF(GERST!M19=0,"",ROUND(GERST!M19/GERST!L19,2))</f>
        <v>0.62</v>
      </c>
      <c r="G18" s="42">
        <f>IF(GERST!P19=0,"",ROUND(GERST!P19/GERST!O19,2))</f>
        <v>0.98</v>
      </c>
      <c r="H18" s="42">
        <f>IF(GERST!S19=0,"",ROUND(GERST!S19/GERST!R19,2))</f>
        <v>0.76</v>
      </c>
      <c r="I18" s="42">
        <f>IF(GERST!V19=0,"",ROUND(GERST!V19/GERST!U19,2))</f>
        <v>0.67</v>
      </c>
      <c r="J18" s="42">
        <f>IF(GERST!Y19=0,"",ROUND(GERST!Y19/GERST!X19,2))</f>
        <v>0.97</v>
      </c>
    </row>
    <row r="19" spans="1:10" s="35" customFormat="1" ht="19.5" customHeight="1">
      <c r="A19" s="25">
        <v>15</v>
      </c>
      <c r="B19" s="26" t="s">
        <v>28</v>
      </c>
      <c r="C19" s="42">
        <f>IF(GERST!D20=0,"",ROUND(GERST!D20/GERST!C20,2))</f>
        <v>0.96</v>
      </c>
      <c r="D19" s="42">
        <f>IF(GERST!G20=0,"",ROUND(GERST!G20/GERST!F20,2))</f>
        <v>0.93</v>
      </c>
      <c r="E19" s="42">
        <f>IF(GERST!J20=0,"",ROUND(GERST!J20/GERST!I20,2))</f>
        <v>0.95</v>
      </c>
      <c r="F19" s="42">
        <f>IF(GERST!M20=0,"",ROUND(GERST!M20/GERST!L20,2))</f>
        <v>0.94</v>
      </c>
      <c r="G19" s="42">
        <f>IF(GERST!P20=0,"",ROUND(GERST!P20/GERST!O20,2))</f>
        <v>0.95</v>
      </c>
      <c r="H19" s="42">
        <f>IF(GERST!S20=0,"",ROUND(GERST!S20/GERST!R20,2))</f>
        <v>0.89</v>
      </c>
      <c r="I19" s="42">
        <f>IF(GERST!V20=0,"",ROUND(GERST!V20/GERST!U20,2))</f>
        <v>0.92</v>
      </c>
      <c r="J19" s="42">
        <f>IF(GERST!Y20=0,"",ROUND(GERST!Y20/GERST!X20,2))</f>
        <v>0.95</v>
      </c>
    </row>
    <row r="20" spans="1:10" s="35" customFormat="1" ht="19.5" customHeight="1">
      <c r="A20" s="25">
        <v>16</v>
      </c>
      <c r="B20" s="26" t="s">
        <v>29</v>
      </c>
      <c r="C20" s="42">
        <f>IF(GERST!D21=0,"",ROUND(GERST!D21/GERST!C21,2))</f>
        <v>1.07</v>
      </c>
      <c r="D20" s="42">
        <f>IF(GERST!G21=0,"",ROUND(GERST!G21/GERST!F21,2))</f>
        <v>1.05</v>
      </c>
      <c r="E20" s="42">
        <f>IF(GERST!J21=0,"",ROUND(GERST!J21/GERST!I21,2))</f>
        <v>1.06</v>
      </c>
      <c r="F20" s="42">
        <f>IF(GERST!M21=0,"",ROUND(GERST!M21/GERST!L21,2))</f>
        <v>1.05</v>
      </c>
      <c r="G20" s="42">
        <f>IF(GERST!P21=0,"",ROUND(GERST!P21/GERST!O21,2))</f>
        <v>1.06</v>
      </c>
      <c r="H20" s="42">
        <f>IF(GERST!S21=0,"",ROUND(GERST!S21/GERST!R21,2))</f>
        <v>1.05</v>
      </c>
      <c r="I20" s="42">
        <f>IF(GERST!V21=0,"",ROUND(GERST!V21/GERST!U21,2))</f>
        <v>1.04</v>
      </c>
      <c r="J20" s="42">
        <f>IF(GERST!Y21=0,"",ROUND(GERST!Y21/GERST!X21,2))</f>
        <v>1.05</v>
      </c>
    </row>
    <row r="21" spans="1:10" s="35" customFormat="1" ht="19.5" customHeight="1">
      <c r="A21" s="25">
        <v>17</v>
      </c>
      <c r="B21" s="26" t="s">
        <v>30</v>
      </c>
      <c r="C21" s="42">
        <f>IF(GERST!D22=0,"",ROUND(GERST!D22/GERST!C22,2))</f>
        <v>1.04</v>
      </c>
      <c r="D21" s="42">
        <f>IF(GERST!G22=0,"",ROUND(GERST!G22/GERST!F22,2))</f>
        <v>1.1599999999999999</v>
      </c>
      <c r="E21" s="42">
        <f>IF(GERST!J22=0,"",ROUND(GERST!J22/GERST!I22,2))</f>
        <v>1.07</v>
      </c>
      <c r="F21" s="42">
        <f>IF(GERST!M22=0,"",ROUND(GERST!M22/GERST!L22,2))</f>
        <v>1.17</v>
      </c>
      <c r="G21" s="42">
        <f>IF(GERST!P22=0,"",ROUND(GERST!P22/GERST!O22,2))</f>
        <v>1.08</v>
      </c>
      <c r="H21" s="42">
        <f>IF(GERST!S22=0,"",ROUND(GERST!S22/GERST!R22,2))</f>
        <v>1.35</v>
      </c>
      <c r="I21" s="42">
        <f>IF(GERST!V22=0,"",ROUND(GERST!V22/GERST!U22,2))</f>
        <v>1.21</v>
      </c>
      <c r="J21" s="42">
        <f>IF(GERST!Y22=0,"",ROUND(GERST!Y22/GERST!X22,2))</f>
        <v>1.08</v>
      </c>
    </row>
    <row r="22" spans="1:10" s="35" customFormat="1" ht="19.5" customHeight="1">
      <c r="A22" s="25">
        <v>18</v>
      </c>
      <c r="B22" s="26" t="s">
        <v>31</v>
      </c>
      <c r="C22" s="42">
        <f>IF(GERST!D23=0,"",ROUND(GERST!D23/GERST!C23,2))</f>
        <v>0.94</v>
      </c>
      <c r="D22" s="42">
        <f>IF(GERST!G23=0,"",ROUND(GERST!G23/GERST!F23,2))</f>
        <v>0.95</v>
      </c>
      <c r="E22" s="42">
        <f>IF(GERST!J23=0,"",ROUND(GERST!J23/GERST!I23,2))</f>
        <v>0.94</v>
      </c>
      <c r="F22" s="42">
        <f>IF(GERST!M23=0,"",ROUND(GERST!M23/GERST!L23,2))</f>
        <v>1.04</v>
      </c>
      <c r="G22" s="42">
        <f>IF(GERST!P23=0,"",ROUND(GERST!P23/GERST!O23,2))</f>
        <v>0.96</v>
      </c>
      <c r="H22" s="42">
        <f>IF(GERST!S23=0,"",ROUND(GERST!S23/GERST!R23,2))</f>
        <v>1.02</v>
      </c>
      <c r="I22" s="42">
        <f>IF(GERST!V23=0,"",ROUND(GERST!V23/GERST!U23,2))</f>
        <v>1.03</v>
      </c>
      <c r="J22" s="42">
        <f>IF(GERST!Y23=0,"",ROUND(GERST!Y23/GERST!X23,2))</f>
        <v>0.96</v>
      </c>
    </row>
    <row r="23" spans="1:10" s="35" customFormat="1" ht="19.5" customHeight="1">
      <c r="A23" s="25">
        <v>19</v>
      </c>
      <c r="B23" s="26" t="s">
        <v>54</v>
      </c>
      <c r="C23" s="42">
        <f>IF(GERST!D24=0,"",ROUND(GERST!D24/GERST!C24,2))</f>
        <v>0.99</v>
      </c>
      <c r="D23" s="42">
        <f>IF(GERST!G24=0,"",ROUND(GERST!G24/GERST!F24,2))</f>
        <v>1</v>
      </c>
      <c r="E23" s="42">
        <f>IF(GERST!J24=0,"",ROUND(GERST!J24/GERST!I24,2))</f>
        <v>0.99</v>
      </c>
      <c r="F23" s="42">
        <f>IF(GERST!M24=0,"",ROUND(GERST!M24/GERST!L24,2))</f>
        <v>1.05</v>
      </c>
      <c r="G23" s="42">
        <f>IF(GERST!P24=0,"",ROUND(GERST!P24/GERST!O24,2))</f>
        <v>1</v>
      </c>
      <c r="H23" s="42">
        <f>IF(GERST!S24=0,"",ROUND(GERST!S24/GERST!R24,2))</f>
        <v>0.92</v>
      </c>
      <c r="I23" s="42">
        <f>IF(GERST!V24=0,"",ROUND(GERST!V24/GERST!U24,2))</f>
        <v>1</v>
      </c>
      <c r="J23" s="42">
        <f>IF(GERST!Y24=0,"",ROUND(GERST!Y24/GERST!X24,2))</f>
        <v>0.99</v>
      </c>
    </row>
    <row r="24" spans="1:10" s="35" customFormat="1" ht="19.5" customHeight="1">
      <c r="A24" s="25">
        <v>20</v>
      </c>
      <c r="B24" s="2" t="s">
        <v>55</v>
      </c>
      <c r="C24" s="42">
        <f>IF(GERST!D25=0,"",ROUND(GERST!D25/GERST!C25,2))</f>
        <v>0.94</v>
      </c>
      <c r="D24" s="42">
        <f>IF(GERST!G25=0,"",ROUND(GERST!G25/GERST!F25,2))</f>
        <v>0.91</v>
      </c>
      <c r="E24" s="42">
        <f>IF(GERST!J25=0,"",ROUND(GERST!J25/GERST!I25,2))</f>
        <v>0.94</v>
      </c>
      <c r="F24" s="42">
        <f>IF(GERST!M25=0,"",ROUND(GERST!M25/GERST!L25,2))</f>
        <v>0.89</v>
      </c>
      <c r="G24" s="42">
        <f>IF(GERST!P25=0,"",ROUND(GERST!P25/GERST!O25,2))</f>
        <v>0.93</v>
      </c>
      <c r="H24" s="42">
        <f>IF(GERST!S25=0,"",ROUND(GERST!S25/GERST!R25,2))</f>
        <v>0.66</v>
      </c>
      <c r="I24" s="42">
        <f>IF(GERST!V25=0,"",ROUND(GERST!V25/GERST!U25,2))</f>
        <v>0.82</v>
      </c>
      <c r="J24" s="42">
        <f>IF(GERST!Y25=0,"",ROUND(GERST!Y25/GERST!X25,2))</f>
        <v>0.92</v>
      </c>
    </row>
    <row r="25" spans="1:10" s="35" customFormat="1" ht="19.5" customHeight="1">
      <c r="A25" s="25">
        <v>21</v>
      </c>
      <c r="B25" s="26" t="s">
        <v>74</v>
      </c>
      <c r="C25" s="42" t="str">
        <f>IF(GERST!D26=0,"",ROUND(GERST!D26/GERST!C26,2))</f>
        <v/>
      </c>
      <c r="D25" s="42" t="str">
        <f>IF(GERST!G26=0,"",ROUND(GERST!G26/GERST!F26,2))</f>
        <v/>
      </c>
      <c r="E25" s="42" t="str">
        <f>IF(GERST!J26=0,"",ROUND(GERST!J26/GERST!I26,2))</f>
        <v/>
      </c>
      <c r="F25" s="42" t="str">
        <f>IF(GERST!M26=0,"",ROUND(GERST!M26/GERST!L26,2))</f>
        <v/>
      </c>
      <c r="G25" s="42" t="str">
        <f>IF(GERST!P26=0,"",ROUND(GERST!P26/GERST!O26,2))</f>
        <v/>
      </c>
      <c r="H25" s="42" t="str">
        <f>IF(GERST!S26=0,"",ROUND(GERST!S26/GERST!R26,2))</f>
        <v/>
      </c>
      <c r="I25" s="42" t="str">
        <f>IF(GERST!V26=0,"",ROUND(GERST!V26/GERST!U26,2))</f>
        <v/>
      </c>
      <c r="J25" s="42" t="str">
        <f>IF(GERST!Y26=0,"",ROUND(GERST!Y26/GERST!X26,2))</f>
        <v/>
      </c>
    </row>
    <row r="26" spans="1:10" s="35" customFormat="1" ht="19.5" customHeight="1">
      <c r="A26" s="25">
        <v>22</v>
      </c>
      <c r="B26" s="26" t="s">
        <v>32</v>
      </c>
      <c r="C26" s="42">
        <f>IF(GERST!D27=0,"",ROUND(GERST!D27/GERST!C27,2))</f>
        <v>0.95</v>
      </c>
      <c r="D26" s="42">
        <f>IF(GERST!G27=0,"",ROUND(GERST!G27/GERST!F27,2))</f>
        <v>0.86</v>
      </c>
      <c r="E26" s="42">
        <f>IF(GERST!J27=0,"",ROUND(GERST!J27/GERST!I27,2))</f>
        <v>0.93</v>
      </c>
      <c r="F26" s="42">
        <f>IF(GERST!M27=0,"",ROUND(GERST!M27/GERST!L27,2))</f>
        <v>0.78</v>
      </c>
      <c r="G26" s="42">
        <f>IF(GERST!P27=0,"",ROUND(GERST!P27/GERST!O27,2))</f>
        <v>0.91</v>
      </c>
      <c r="H26" s="42">
        <f>IF(GERST!S27=0,"",ROUND(GERST!S27/GERST!R27,2))</f>
        <v>0.64</v>
      </c>
      <c r="I26" s="42">
        <f>IF(GERST!V27=0,"",ROUND(GERST!V27/GERST!U27,2))</f>
        <v>0.73</v>
      </c>
      <c r="J26" s="42">
        <f>IF(GERST!Y27=0,"",ROUND(GERST!Y27/GERST!X27,2))</f>
        <v>0.89</v>
      </c>
    </row>
    <row r="27" spans="1:10" s="35" customFormat="1" ht="19.5" customHeight="1">
      <c r="A27" s="25">
        <v>23</v>
      </c>
      <c r="B27" s="26" t="s">
        <v>33</v>
      </c>
      <c r="C27" s="42">
        <f>IF(GERST!D28=0,"",ROUND(GERST!D28/GERST!C28,2))</f>
        <v>1.04</v>
      </c>
      <c r="D27" s="42">
        <f>IF(GERST!G28=0,"",ROUND(GERST!G28/GERST!F28,2))</f>
        <v>1.31</v>
      </c>
      <c r="E27" s="42">
        <f>IF(GERST!J28=0,"",ROUND(GERST!J28/GERST!I28,2))</f>
        <v>1.1200000000000001</v>
      </c>
      <c r="F27" s="42">
        <f>IF(GERST!M28=0,"",ROUND(GERST!M28/GERST!L28,2))</f>
        <v>1.29</v>
      </c>
      <c r="G27" s="42">
        <f>IF(GERST!P28=0,"",ROUND(GERST!P28/GERST!O28,2))</f>
        <v>1.1399999999999999</v>
      </c>
      <c r="H27" s="42">
        <f>IF(GERST!S28=0,"",ROUND(GERST!S28/GERST!R28,2))</f>
        <v>1.33</v>
      </c>
      <c r="I27" s="42">
        <f>IF(GERST!V28=0,"",ROUND(GERST!V28/GERST!U28,2))</f>
        <v>1.3</v>
      </c>
      <c r="J27" s="42">
        <f>IF(GERST!Y28=0,"",ROUND(GERST!Y28/GERST!X28,2))</f>
        <v>1.1499999999999999</v>
      </c>
    </row>
    <row r="28" spans="1:10" s="35" customFormat="1" ht="19.5" customHeight="1">
      <c r="A28" s="25">
        <v>24</v>
      </c>
      <c r="B28" s="26" t="s">
        <v>34</v>
      </c>
      <c r="C28" s="42">
        <f>IF(GERST!D29=0,"",ROUND(GERST!D29/GERST!C29,2))</f>
        <v>1.01</v>
      </c>
      <c r="D28" s="42">
        <f>IF(GERST!G29=0,"",ROUND(GERST!G29/GERST!F29,2))</f>
        <v>1.01</v>
      </c>
      <c r="E28" s="42">
        <f>IF(GERST!J29=0,"",ROUND(GERST!J29/GERST!I29,2))</f>
        <v>1.01</v>
      </c>
      <c r="F28" s="42">
        <f>IF(GERST!M29=0,"",ROUND(GERST!M29/GERST!L29,2))</f>
        <v>1.03</v>
      </c>
      <c r="G28" s="42">
        <f>IF(GERST!P29=0,"",ROUND(GERST!P29/GERST!O29,2))</f>
        <v>1.02</v>
      </c>
      <c r="H28" s="42">
        <f>IF(GERST!S29=0,"",ROUND(GERST!S29/GERST!R29,2))</f>
        <v>1.18</v>
      </c>
      <c r="I28" s="42">
        <f>IF(GERST!V29=0,"",ROUND(GERST!V29/GERST!U29,2))</f>
        <v>1.08</v>
      </c>
      <c r="J28" s="42">
        <f>IF(GERST!Y29=0,"",ROUND(GERST!Y29/GERST!X29,2))</f>
        <v>1.03</v>
      </c>
    </row>
    <row r="29" spans="1:10" s="35" customFormat="1" ht="19.5" customHeight="1">
      <c r="A29" s="25">
        <v>25</v>
      </c>
      <c r="B29" s="26" t="s">
        <v>35</v>
      </c>
      <c r="C29" s="42">
        <f>IF(GERST!D30=0,"",ROUND(GERST!D30/GERST!C30,2))</f>
        <v>1</v>
      </c>
      <c r="D29" s="42">
        <f>IF(GERST!G30=0,"",ROUND(GERST!G30/GERST!F30,2))</f>
        <v>0.93</v>
      </c>
      <c r="E29" s="42">
        <f>IF(GERST!J30=0,"",ROUND(GERST!J30/GERST!I30,2))</f>
        <v>0.98</v>
      </c>
      <c r="F29" s="42">
        <f>IF(GERST!M30=0,"",ROUND(GERST!M30/GERST!L30,2))</f>
        <v>0.92</v>
      </c>
      <c r="G29" s="42">
        <f>IF(GERST!P30=0,"",ROUND(GERST!P30/GERST!O30,2))</f>
        <v>0.97</v>
      </c>
      <c r="H29" s="42">
        <f>IF(GERST!S30=0,"",ROUND(GERST!S30/GERST!R30,2))</f>
        <v>0.73</v>
      </c>
      <c r="I29" s="42">
        <f>IF(GERST!V30=0,"",ROUND(GERST!V30/GERST!U30,2))</f>
        <v>0.89</v>
      </c>
      <c r="J29" s="42">
        <f>IF(GERST!Y30=0,"",ROUND(GERST!Y30/GERST!X30,2))</f>
        <v>0.96</v>
      </c>
    </row>
    <row r="30" spans="1:10" s="35" customFormat="1" ht="19.5" customHeight="1">
      <c r="A30" s="25">
        <v>26</v>
      </c>
      <c r="B30" s="26" t="s">
        <v>36</v>
      </c>
      <c r="C30" s="42">
        <f>IF(GERST!D31=0,"",ROUND(GERST!D31/GERST!C31,2))</f>
        <v>0.99</v>
      </c>
      <c r="D30" s="42">
        <f>IF(GERST!G31=0,"",ROUND(GERST!G31/GERST!F31,2))</f>
        <v>1.04</v>
      </c>
      <c r="E30" s="42">
        <f>IF(GERST!J31=0,"",ROUND(GERST!J31/GERST!I31,2))</f>
        <v>1</v>
      </c>
      <c r="F30" s="42">
        <f>IF(GERST!M31=0,"",ROUND(GERST!M31/GERST!L31,2))</f>
        <v>1.07</v>
      </c>
      <c r="G30" s="42">
        <f>IF(GERST!P31=0,"",ROUND(GERST!P31/GERST!O31,2))</f>
        <v>1.01</v>
      </c>
      <c r="H30" s="42">
        <f>IF(GERST!S31=0,"",ROUND(GERST!S31/GERST!R31,2))</f>
        <v>1.07</v>
      </c>
      <c r="I30" s="42">
        <f>IF(GERST!V31=0,"",ROUND(GERST!V31/GERST!U31,2))</f>
        <v>1.07</v>
      </c>
      <c r="J30" s="42">
        <f>IF(GERST!Y31=0,"",ROUND(GERST!Y31/GERST!X31,2))</f>
        <v>1.02</v>
      </c>
    </row>
    <row r="31" spans="1:10" s="35" customFormat="1" ht="19.5" customHeight="1">
      <c r="A31" s="25">
        <v>27</v>
      </c>
      <c r="B31" s="26" t="s">
        <v>37</v>
      </c>
      <c r="C31" s="42">
        <f>IF(GERST!D32=0,"",ROUND(GERST!D32/GERST!C32,2))</f>
        <v>1.05</v>
      </c>
      <c r="D31" s="42">
        <f>IF(GERST!G32=0,"",ROUND(GERST!G32/GERST!F32,2))</f>
        <v>1.0900000000000001</v>
      </c>
      <c r="E31" s="42">
        <f>IF(GERST!J32=0,"",ROUND(GERST!J32/GERST!I32,2))</f>
        <v>1.06</v>
      </c>
      <c r="F31" s="42">
        <f>IF(GERST!M32=0,"",ROUND(GERST!M32/GERST!L32,2))</f>
        <v>1.06</v>
      </c>
      <c r="G31" s="42">
        <f>IF(GERST!P32=0,"",ROUND(GERST!P32/GERST!O32,2))</f>
        <v>1.06</v>
      </c>
      <c r="H31" s="42">
        <f>IF(GERST!S32=0,"",ROUND(GERST!S32/GERST!R32,2))</f>
        <v>0.99</v>
      </c>
      <c r="I31" s="42">
        <f>IF(GERST!V32=0,"",ROUND(GERST!V32/GERST!U32,2))</f>
        <v>1.03</v>
      </c>
      <c r="J31" s="42">
        <f>IF(GERST!Y32=0,"",ROUND(GERST!Y32/GERST!X32,2))</f>
        <v>1.05</v>
      </c>
    </row>
    <row r="32" spans="1:10" s="35" customFormat="1" ht="19.5" customHeight="1">
      <c r="A32" s="25">
        <v>28</v>
      </c>
      <c r="B32" s="26" t="s">
        <v>38</v>
      </c>
      <c r="C32" s="42">
        <f>IF(GERST!D33=0,"",ROUND(GERST!D33/GERST!C33,2))</f>
        <v>1.01</v>
      </c>
      <c r="D32" s="42">
        <f>IF(GERST!G33=0,"",ROUND(GERST!G33/GERST!F33,2))</f>
        <v>1</v>
      </c>
      <c r="E32" s="42">
        <f>IF(GERST!J33=0,"",ROUND(GERST!J33/GERST!I33,2))</f>
        <v>1.01</v>
      </c>
      <c r="F32" s="42">
        <f>IF(GERST!M33=0,"",ROUND(GERST!M33/GERST!L33,2))</f>
        <v>1</v>
      </c>
      <c r="G32" s="42">
        <f>IF(GERST!P33=0,"",ROUND(GERST!P33/GERST!O33,2))</f>
        <v>1.01</v>
      </c>
      <c r="H32" s="42">
        <f>IF(GERST!S33=0,"",ROUND(GERST!S33/GERST!R33,2))</f>
        <v>0.81</v>
      </c>
      <c r="I32" s="42">
        <f>IF(GERST!V33=0,"",ROUND(GERST!V33/GERST!U33,2))</f>
        <v>0.94</v>
      </c>
      <c r="J32" s="42">
        <f>IF(GERST!Y33=0,"",ROUND(GERST!Y33/GERST!X33,2))</f>
        <v>1.01</v>
      </c>
    </row>
    <row r="33" spans="1:10" s="35" customFormat="1" ht="19.5" customHeight="1">
      <c r="A33" s="25">
        <v>29</v>
      </c>
      <c r="B33" s="26" t="s">
        <v>39</v>
      </c>
      <c r="C33" s="42">
        <f>IF(GERST!D34=0,"",ROUND(GERST!D34/GERST!C34,2))</f>
        <v>1.04</v>
      </c>
      <c r="D33" s="42">
        <f>IF(GERST!G34=0,"",ROUND(GERST!G34/GERST!F34,2))</f>
        <v>1.03</v>
      </c>
      <c r="E33" s="42">
        <f>IF(GERST!J34=0,"",ROUND(GERST!J34/GERST!I34,2))</f>
        <v>1.04</v>
      </c>
      <c r="F33" s="42">
        <f>IF(GERST!M34=0,"",ROUND(GERST!M34/GERST!L34,2))</f>
        <v>0.9</v>
      </c>
      <c r="G33" s="42">
        <f>IF(GERST!P34=0,"",ROUND(GERST!P34/GERST!O34,2))</f>
        <v>1.01</v>
      </c>
      <c r="H33" s="42">
        <f>IF(GERST!S34=0,"",ROUND(GERST!S34/GERST!R34,2))</f>
        <v>1.1399999999999999</v>
      </c>
      <c r="I33" s="42">
        <f>IF(GERST!V34=0,"",ROUND(GERST!V34/GERST!U34,2))</f>
        <v>0.99</v>
      </c>
      <c r="J33" s="42">
        <f>IF(GERST!Y34=0,"",ROUND(GERST!Y34/GERST!X34,2))</f>
        <v>1.02</v>
      </c>
    </row>
    <row r="34" spans="1:10" s="35" customFormat="1" ht="19.5" customHeight="1">
      <c r="A34" s="25">
        <v>30</v>
      </c>
      <c r="B34" s="26" t="s">
        <v>40</v>
      </c>
      <c r="C34" s="42" t="str">
        <f>IF(GERST!D35=0,"",ROUND(GERST!D35/GERST!C35,2))</f>
        <v/>
      </c>
      <c r="D34" s="42" t="str">
        <f>IF(GERST!G35=0,"",ROUND(GERST!G35/GERST!F35,2))</f>
        <v/>
      </c>
      <c r="E34" s="42" t="str">
        <f>IF(GERST!J35=0,"",ROUND(GERST!J35/GERST!I35,2))</f>
        <v/>
      </c>
      <c r="F34" s="42" t="str">
        <f>IF(GERST!M35=0,"",ROUND(GERST!M35/GERST!L35,2))</f>
        <v/>
      </c>
      <c r="G34" s="42" t="str">
        <f>IF(GERST!P35=0,"",ROUND(GERST!P35/GERST!O35,2))</f>
        <v/>
      </c>
      <c r="H34" s="42" t="str">
        <f>IF(GERST!S35=0,"",ROUND(GERST!S35/GERST!R35,2))</f>
        <v/>
      </c>
      <c r="I34" s="42" t="str">
        <f>IF(GERST!V35=0,"",ROUND(GERST!V35/GERST!U35,2))</f>
        <v/>
      </c>
      <c r="J34" s="42" t="str">
        <f>IF(GERST!Y35=0,"",ROUND(GERST!Y35/GERST!X35,2))</f>
        <v/>
      </c>
    </row>
    <row r="35" spans="1:10" s="35" customFormat="1" ht="19.5" customHeight="1">
      <c r="A35" s="25">
        <v>31</v>
      </c>
      <c r="B35" s="26" t="s">
        <v>41</v>
      </c>
      <c r="C35" s="42">
        <f>IF(GERST!D36=0,"",ROUND(GERST!D36/GERST!C36,2))</f>
        <v>1</v>
      </c>
      <c r="D35" s="42">
        <f>IF(GERST!G36=0,"",ROUND(GERST!G36/GERST!F36,2))</f>
        <v>0.91</v>
      </c>
      <c r="E35" s="42">
        <f>IF(GERST!J36=0,"",ROUND(GERST!J36/GERST!I36,2))</f>
        <v>0.96</v>
      </c>
      <c r="F35" s="42">
        <f>IF(GERST!M36=0,"",ROUND(GERST!M36/GERST!L36,2))</f>
        <v>0.8</v>
      </c>
      <c r="G35" s="42">
        <f>IF(GERST!P36=0,"",ROUND(GERST!P36/GERST!O36,2))</f>
        <v>0.94</v>
      </c>
      <c r="H35" s="42">
        <f>IF(GERST!S36=0,"",ROUND(GERST!S36/GERST!R36,2))</f>
        <v>0.67</v>
      </c>
      <c r="I35" s="42">
        <f>IF(GERST!V36=0,"",ROUND(GERST!V36/GERST!U36,2))</f>
        <v>0.75</v>
      </c>
      <c r="J35" s="42">
        <f>IF(GERST!Y36=0,"",ROUND(GERST!Y36/GERST!X36,2))</f>
        <v>0.92</v>
      </c>
    </row>
    <row r="36" spans="1:10" s="35" customFormat="1" ht="19.5" customHeight="1">
      <c r="A36" s="25">
        <v>32</v>
      </c>
      <c r="B36" s="26" t="s">
        <v>42</v>
      </c>
      <c r="C36" s="42">
        <f>IF(GERST!D37=0,"",ROUND(GERST!D37/GERST!C37,2))</f>
        <v>0.9</v>
      </c>
      <c r="D36" s="42">
        <f>IF(GERST!G37=0,"",ROUND(GERST!G37/GERST!F37,2))</f>
        <v>1.01</v>
      </c>
      <c r="E36" s="42">
        <f>IF(GERST!J37=0,"",ROUND(GERST!J37/GERST!I37,2))</f>
        <v>0.94</v>
      </c>
      <c r="F36" s="42">
        <f>IF(GERST!M37=0,"",ROUND(GERST!M37/GERST!L37,2))</f>
        <v>0.91</v>
      </c>
      <c r="G36" s="42">
        <f>IF(GERST!P37=0,"",ROUND(GERST!P37/GERST!O37,2))</f>
        <v>0.93</v>
      </c>
      <c r="H36" s="42">
        <f>IF(GERST!S37=0,"",ROUND(GERST!S37/GERST!R37,2))</f>
        <v>0.98</v>
      </c>
      <c r="I36" s="42">
        <f>IF(GERST!V37=0,"",ROUND(GERST!V37/GERST!U37,2))</f>
        <v>0.95</v>
      </c>
      <c r="J36" s="42">
        <f>IF(GERST!Y37=0,"",ROUND(GERST!Y37/GERST!X37,2))</f>
        <v>0.95</v>
      </c>
    </row>
    <row r="37" spans="1:10" s="35" customFormat="1" ht="19.5" customHeight="1">
      <c r="A37" s="25">
        <v>33</v>
      </c>
      <c r="B37" s="26" t="s">
        <v>43</v>
      </c>
      <c r="C37" s="42" t="str">
        <f>IF(GERST!D38=0,"",ROUND(GERST!D38/GERST!C38,2))</f>
        <v/>
      </c>
      <c r="D37" s="42" t="str">
        <f>IF(GERST!G38=0,"",ROUND(GERST!G38/GERST!F38,2))</f>
        <v/>
      </c>
      <c r="E37" s="42" t="str">
        <f>IF(GERST!J38=0,"",ROUND(GERST!J38/GERST!I38,2))</f>
        <v/>
      </c>
      <c r="F37" s="42" t="str">
        <f>IF(GERST!M38=0,"",ROUND(GERST!M38/GERST!L38,2))</f>
        <v/>
      </c>
      <c r="G37" s="42" t="str">
        <f>IF(GERST!P38=0,"",ROUND(GERST!P38/GERST!O38,2))</f>
        <v/>
      </c>
      <c r="H37" s="42" t="str">
        <f>IF(GERST!S38=0,"",ROUND(GERST!S38/GERST!R38,2))</f>
        <v/>
      </c>
      <c r="I37" s="42" t="str">
        <f>IF(GERST!V38=0,"",ROUND(GERST!V38/GERST!U38,2))</f>
        <v/>
      </c>
      <c r="J37" s="42" t="str">
        <f>IF(GERST!Y38=0,"",ROUND(GERST!Y38/GERST!X38,2))</f>
        <v/>
      </c>
    </row>
    <row r="38" spans="1:10" s="35" customFormat="1" ht="19.5" customHeight="1">
      <c r="A38" s="25">
        <v>34</v>
      </c>
      <c r="B38" s="26" t="s">
        <v>44</v>
      </c>
      <c r="C38" s="42">
        <f>IF(GERST!D39=0,"",ROUND(GERST!D39/GERST!C39,2))</f>
        <v>0.96</v>
      </c>
      <c r="D38" s="42">
        <f>IF(GERST!G39=0,"",ROUND(GERST!G39/GERST!F39,2))</f>
        <v>1.03</v>
      </c>
      <c r="E38" s="42">
        <f>IF(GERST!J39=0,"",ROUND(GERST!J39/GERST!I39,2))</f>
        <v>0.99</v>
      </c>
      <c r="F38" s="42">
        <f>IF(GERST!M39=0,"",ROUND(GERST!M39/GERST!L39,2))</f>
        <v>0.87</v>
      </c>
      <c r="G38" s="42">
        <f>IF(GERST!P39=0,"",ROUND(GERST!P39/GERST!O39,2))</f>
        <v>0.97</v>
      </c>
      <c r="H38" s="42">
        <f>IF(GERST!S39=0,"",ROUND(GERST!S39/GERST!R39,2))</f>
        <v>0.95</v>
      </c>
      <c r="I38" s="42">
        <f>IF(GERST!V39=0,"",ROUND(GERST!V39/GERST!U39,2))</f>
        <v>0.91</v>
      </c>
      <c r="J38" s="42">
        <f>IF(GERST!Y39=0,"",ROUND(GERST!Y39/GERST!X39,2))</f>
        <v>0.96</v>
      </c>
    </row>
    <row r="39" spans="1:10" s="35" customFormat="1" ht="19.5" customHeight="1">
      <c r="A39" s="25">
        <v>35</v>
      </c>
      <c r="B39" s="26" t="s">
        <v>45</v>
      </c>
      <c r="C39" s="42" t="str">
        <f>IF(GERST!D40=0,"",ROUND(GERST!D40/GERST!C40,2))</f>
        <v/>
      </c>
      <c r="D39" s="42" t="str">
        <f>IF(GERST!G40=0,"",ROUND(GERST!G40/GERST!F40,2))</f>
        <v/>
      </c>
      <c r="E39" s="42" t="str">
        <f>IF(GERST!J40=0,"",ROUND(GERST!J40/GERST!I40,2))</f>
        <v/>
      </c>
      <c r="F39" s="42" t="str">
        <f>IF(GERST!M40=0,"",ROUND(GERST!M40/GERST!L40,2))</f>
        <v/>
      </c>
      <c r="G39" s="42" t="str">
        <f>IF(GERST!P40=0,"",ROUND(GERST!P40/GERST!O40,2))</f>
        <v/>
      </c>
      <c r="H39" s="42" t="str">
        <f>IF(GERST!S40=0,"",ROUND(GERST!S40/GERST!R40,2))</f>
        <v/>
      </c>
      <c r="I39" s="42" t="str">
        <f>IF(GERST!V40=0,"",ROUND(GERST!V40/GERST!U40,2))</f>
        <v/>
      </c>
      <c r="J39" s="42" t="str">
        <f>IF(GERST!Y40=0,"",ROUND(GERST!Y40/GERST!X40,2))</f>
        <v/>
      </c>
    </row>
    <row r="40" spans="1:10" s="87" customFormat="1" ht="19.5" customHeight="1">
      <c r="A40" s="286" t="s">
        <v>46</v>
      </c>
      <c r="B40" s="286"/>
      <c r="C40" s="96">
        <f>IF(GERST!D41=0,"",ROUND(GERST!D41/GERST!C41,2))</f>
        <v>0.98</v>
      </c>
      <c r="D40" s="96">
        <f>IF(GERST!G41=0,"",ROUND(GERST!G41/GERST!F41,2))</f>
        <v>0.96</v>
      </c>
      <c r="E40" s="96">
        <f>IF(GERST!J41=0,"",ROUND(GERST!J41/GERST!I41,2))</f>
        <v>0.98</v>
      </c>
      <c r="F40" s="96">
        <f>IF(GERST!M41=0,"",ROUND(GERST!M41/GERST!L41,2))</f>
        <v>0.89</v>
      </c>
      <c r="G40" s="96">
        <f>IF(GERST!P41=0,"",ROUND(GERST!P41/GERST!O41,2))</f>
        <v>0.97</v>
      </c>
      <c r="H40" s="96">
        <f>IF(GERST!S41=0,"",ROUND(GERST!S41/GERST!R41,2))</f>
        <v>0.82</v>
      </c>
      <c r="I40" s="96">
        <f>IF(GERST!V41=0,"",ROUND(GERST!V41/GERST!U41,2))</f>
        <v>0.87</v>
      </c>
      <c r="J40" s="96">
        <f>IF(GERST!Y41=0,"",ROUND(GERST!Y41/GERST!X41,2))</f>
        <v>0.96</v>
      </c>
    </row>
  </sheetData>
  <mergeCells count="1">
    <mergeCell ref="A40:B40"/>
  </mergeCells>
  <printOptions horizontalCentered="1"/>
  <pageMargins left="0.2" right="0.22" top="0.44" bottom="0.59" header="0.2" footer="0.33"/>
  <pageSetup paperSize="9" scale="98" firstPageNumber="62" orientation="portrait" useFirstPageNumber="1" r:id="rId1"/>
  <headerFooter alignWithMargins="0">
    <oddFooter>&amp;LSTATISTICS OF SCHOOL EDUCATION 2011-12&amp;R&amp;P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AU50"/>
  <sheetViews>
    <sheetView tabSelected="1" view="pageBreakPreview" topLeftCell="AG1" zoomScaleSheetLayoutView="100" workbookViewId="0">
      <selection activeCell="AZ31" sqref="AZ31"/>
    </sheetView>
  </sheetViews>
  <sheetFormatPr defaultRowHeight="15.75"/>
  <cols>
    <col min="1" max="1" width="5.140625" style="5" customWidth="1"/>
    <col min="2" max="2" width="19.5703125" style="5" customWidth="1"/>
    <col min="3" max="3" width="9" style="5" customWidth="1"/>
    <col min="4" max="4" width="7.5703125" style="5" customWidth="1"/>
    <col min="5" max="5" width="9" style="5" customWidth="1"/>
    <col min="6" max="6" width="7.5703125" style="5" customWidth="1"/>
    <col min="7" max="7" width="9" style="5" customWidth="1"/>
    <col min="8" max="8" width="7.5703125" style="5" customWidth="1"/>
    <col min="9" max="9" width="9" style="5" customWidth="1"/>
    <col min="10" max="10" width="7.5703125" style="5" customWidth="1"/>
    <col min="11" max="11" width="7.85546875" style="5" customWidth="1"/>
    <col min="12" max="12" width="9" style="5" customWidth="1"/>
    <col min="13" max="13" width="6.85546875" style="5" customWidth="1"/>
    <col min="14" max="14" width="9" style="5" customWidth="1"/>
    <col min="15" max="15" width="6.85546875" style="5" customWidth="1"/>
    <col min="16" max="16" width="10" style="5" customWidth="1"/>
    <col min="17" max="17" width="6.85546875" style="5" customWidth="1"/>
    <col min="18" max="18" width="9" style="5" customWidth="1"/>
    <col min="19" max="19" width="6.85546875" style="5" customWidth="1"/>
    <col min="20" max="20" width="9.7109375" style="5" customWidth="1"/>
    <col min="21" max="21" width="9" style="5" customWidth="1"/>
    <col min="22" max="22" width="7" style="5" customWidth="1"/>
    <col min="23" max="23" width="9" style="5" customWidth="1"/>
    <col min="24" max="24" width="7" style="5" customWidth="1"/>
    <col min="25" max="25" width="9" style="5" customWidth="1"/>
    <col min="26" max="26" width="7" style="5" customWidth="1"/>
    <col min="27" max="27" width="9" style="5" customWidth="1"/>
    <col min="28" max="28" width="7" style="5" customWidth="1"/>
    <col min="29" max="29" width="9" style="5" customWidth="1"/>
    <col min="30" max="30" width="11" style="5" customWidth="1"/>
    <col min="31" max="31" width="8.85546875" style="5" customWidth="1"/>
    <col min="32" max="32" width="9.42578125" style="5" customWidth="1"/>
    <col min="33" max="33" width="7.28515625" style="5" customWidth="1"/>
    <col min="34" max="34" width="9" style="5" customWidth="1"/>
    <col min="35" max="35" width="7.28515625" style="5" customWidth="1"/>
    <col min="36" max="36" width="9.28515625" style="5" customWidth="1"/>
    <col min="37" max="37" width="7.28515625" style="5" customWidth="1"/>
    <col min="38" max="38" width="10.7109375" style="5" customWidth="1"/>
    <col min="39" max="39" width="9" style="5" customWidth="1"/>
    <col min="40" max="40" width="7.5703125" style="5" customWidth="1"/>
    <col min="41" max="41" width="9" style="5" customWidth="1"/>
    <col min="42" max="42" width="7.5703125" style="5" customWidth="1"/>
    <col min="43" max="43" width="9" style="5" customWidth="1"/>
    <col min="44" max="44" width="7.5703125" style="5" customWidth="1"/>
    <col min="45" max="45" width="9" style="5" customWidth="1"/>
    <col min="46" max="46" width="7.5703125" style="5" customWidth="1"/>
    <col min="47" max="47" width="7.7109375" style="5" customWidth="1"/>
    <col min="48" max="16384" width="9.140625" style="5"/>
  </cols>
  <sheetData>
    <row r="1" spans="1:47" s="4" customFormat="1" ht="24.75" customHeight="1">
      <c r="B1" s="1"/>
      <c r="C1" s="284" t="s">
        <v>131</v>
      </c>
      <c r="D1" s="284"/>
      <c r="E1" s="284"/>
      <c r="F1" s="284"/>
      <c r="G1" s="284"/>
      <c r="H1" s="284"/>
      <c r="I1" s="284"/>
      <c r="J1" s="284"/>
      <c r="K1" s="284"/>
      <c r="L1" s="284" t="str">
        <f>C1</f>
        <v>Table A2: NUMBER OF INSTITUTIONS BY MANAGEMENT</v>
      </c>
      <c r="M1" s="284"/>
      <c r="N1" s="284"/>
      <c r="O1" s="284"/>
      <c r="P1" s="284"/>
      <c r="Q1" s="284"/>
      <c r="R1" s="284"/>
      <c r="S1" s="284"/>
      <c r="T1" s="284"/>
      <c r="U1" s="16" t="str">
        <f>L1</f>
        <v>Table A2: NUMBER OF INSTITUTIONS BY MANAGEMENT</v>
      </c>
      <c r="V1" s="16"/>
      <c r="W1" s="16"/>
      <c r="X1" s="16"/>
      <c r="Y1" s="16"/>
      <c r="Z1" s="16"/>
      <c r="AA1" s="16"/>
      <c r="AB1" s="16"/>
      <c r="AC1" s="16"/>
      <c r="AD1" s="16" t="str">
        <f>U1</f>
        <v>Table A2: NUMBER OF INSTITUTIONS BY MANAGEMENT</v>
      </c>
      <c r="AE1" s="16"/>
      <c r="AF1" s="16"/>
      <c r="AG1" s="16"/>
      <c r="AH1" s="16"/>
      <c r="AI1" s="16"/>
      <c r="AJ1" s="16"/>
      <c r="AK1" s="16"/>
      <c r="AL1" s="16"/>
      <c r="AM1" s="16" t="str">
        <f>AD1</f>
        <v>Table A2: NUMBER OF INSTITUTIONS BY MANAGEMENT</v>
      </c>
      <c r="AN1" s="16"/>
      <c r="AO1" s="16"/>
      <c r="AP1" s="16"/>
      <c r="AQ1" s="16"/>
      <c r="AR1" s="16"/>
      <c r="AS1" s="16"/>
      <c r="AT1" s="16"/>
      <c r="AU1" s="16"/>
    </row>
    <row r="2" spans="1:47" s="12" customFormat="1" ht="17.25" customHeight="1">
      <c r="A2" s="283" t="s">
        <v>67</v>
      </c>
      <c r="B2" s="283" t="s">
        <v>65</v>
      </c>
      <c r="C2" s="283" t="s">
        <v>68</v>
      </c>
      <c r="D2" s="283"/>
      <c r="E2" s="283"/>
      <c r="F2" s="283"/>
      <c r="G2" s="283"/>
      <c r="H2" s="283"/>
      <c r="I2" s="283"/>
      <c r="J2" s="283"/>
      <c r="K2" s="283"/>
      <c r="L2" s="283" t="s">
        <v>47</v>
      </c>
      <c r="M2" s="283"/>
      <c r="N2" s="283"/>
      <c r="O2" s="283"/>
      <c r="P2" s="283"/>
      <c r="Q2" s="283"/>
      <c r="R2" s="283"/>
      <c r="S2" s="283"/>
      <c r="T2" s="283"/>
      <c r="U2" s="283" t="s">
        <v>69</v>
      </c>
      <c r="V2" s="283"/>
      <c r="W2" s="283"/>
      <c r="X2" s="283"/>
      <c r="Y2" s="283"/>
      <c r="Z2" s="283"/>
      <c r="AA2" s="283"/>
      <c r="AB2" s="283"/>
      <c r="AC2" s="283"/>
      <c r="AD2" s="283" t="s">
        <v>59</v>
      </c>
      <c r="AE2" s="283"/>
      <c r="AF2" s="283"/>
      <c r="AG2" s="283"/>
      <c r="AH2" s="283"/>
      <c r="AI2" s="283"/>
      <c r="AJ2" s="283"/>
      <c r="AK2" s="283"/>
      <c r="AL2" s="283"/>
      <c r="AM2" s="283" t="s">
        <v>70</v>
      </c>
      <c r="AN2" s="283"/>
      <c r="AO2" s="283"/>
      <c r="AP2" s="283"/>
      <c r="AQ2" s="283"/>
      <c r="AR2" s="283"/>
      <c r="AS2" s="283"/>
      <c r="AT2" s="283"/>
      <c r="AU2" s="283"/>
    </row>
    <row r="3" spans="1:47" s="13" customFormat="1" ht="34.5" customHeight="1">
      <c r="A3" s="283"/>
      <c r="B3" s="283"/>
      <c r="C3" s="283" t="s">
        <v>66</v>
      </c>
      <c r="D3" s="283"/>
      <c r="E3" s="283" t="s">
        <v>60</v>
      </c>
      <c r="F3" s="283"/>
      <c r="G3" s="283" t="s">
        <v>61</v>
      </c>
      <c r="H3" s="283"/>
      <c r="I3" s="283" t="s">
        <v>62</v>
      </c>
      <c r="J3" s="283"/>
      <c r="K3" s="283" t="s">
        <v>15</v>
      </c>
      <c r="L3" s="283" t="s">
        <v>66</v>
      </c>
      <c r="M3" s="283"/>
      <c r="N3" s="283" t="s">
        <v>60</v>
      </c>
      <c r="O3" s="283"/>
      <c r="P3" s="283" t="s">
        <v>61</v>
      </c>
      <c r="Q3" s="283"/>
      <c r="R3" s="283" t="s">
        <v>62</v>
      </c>
      <c r="S3" s="283"/>
      <c r="T3" s="283" t="s">
        <v>15</v>
      </c>
      <c r="U3" s="283" t="s">
        <v>66</v>
      </c>
      <c r="V3" s="283"/>
      <c r="W3" s="283" t="s">
        <v>60</v>
      </c>
      <c r="X3" s="283"/>
      <c r="Y3" s="283" t="s">
        <v>61</v>
      </c>
      <c r="Z3" s="283"/>
      <c r="AA3" s="283" t="s">
        <v>62</v>
      </c>
      <c r="AB3" s="283"/>
      <c r="AC3" s="283" t="s">
        <v>15</v>
      </c>
      <c r="AD3" s="283" t="s">
        <v>66</v>
      </c>
      <c r="AE3" s="283"/>
      <c r="AF3" s="283" t="s">
        <v>60</v>
      </c>
      <c r="AG3" s="283"/>
      <c r="AH3" s="283" t="s">
        <v>61</v>
      </c>
      <c r="AI3" s="283"/>
      <c r="AJ3" s="283" t="s">
        <v>62</v>
      </c>
      <c r="AK3" s="283"/>
      <c r="AL3" s="283" t="s">
        <v>15</v>
      </c>
      <c r="AM3" s="283" t="s">
        <v>66</v>
      </c>
      <c r="AN3" s="283"/>
      <c r="AO3" s="283" t="s">
        <v>60</v>
      </c>
      <c r="AP3" s="283"/>
      <c r="AQ3" s="283" t="s">
        <v>61</v>
      </c>
      <c r="AR3" s="283"/>
      <c r="AS3" s="283" t="s">
        <v>62</v>
      </c>
      <c r="AT3" s="283"/>
      <c r="AU3" s="283" t="s">
        <v>15</v>
      </c>
    </row>
    <row r="4" spans="1:47" s="14" customFormat="1" ht="22.5" customHeight="1">
      <c r="A4" s="283"/>
      <c r="B4" s="283"/>
      <c r="C4" s="249" t="s">
        <v>63</v>
      </c>
      <c r="D4" s="249" t="s">
        <v>64</v>
      </c>
      <c r="E4" s="249" t="s">
        <v>63</v>
      </c>
      <c r="F4" s="249" t="s">
        <v>64</v>
      </c>
      <c r="G4" s="249" t="s">
        <v>63</v>
      </c>
      <c r="H4" s="249" t="s">
        <v>64</v>
      </c>
      <c r="I4" s="249" t="s">
        <v>63</v>
      </c>
      <c r="J4" s="249" t="s">
        <v>64</v>
      </c>
      <c r="K4" s="283"/>
      <c r="L4" s="249" t="s">
        <v>63</v>
      </c>
      <c r="M4" s="249" t="s">
        <v>64</v>
      </c>
      <c r="N4" s="249" t="s">
        <v>63</v>
      </c>
      <c r="O4" s="249" t="s">
        <v>64</v>
      </c>
      <c r="P4" s="249" t="s">
        <v>63</v>
      </c>
      <c r="Q4" s="249" t="s">
        <v>64</v>
      </c>
      <c r="R4" s="249" t="s">
        <v>63</v>
      </c>
      <c r="S4" s="249" t="s">
        <v>64</v>
      </c>
      <c r="T4" s="283"/>
      <c r="U4" s="249" t="s">
        <v>63</v>
      </c>
      <c r="V4" s="249" t="s">
        <v>64</v>
      </c>
      <c r="W4" s="249" t="s">
        <v>63</v>
      </c>
      <c r="X4" s="249" t="s">
        <v>64</v>
      </c>
      <c r="Y4" s="249" t="s">
        <v>63</v>
      </c>
      <c r="Z4" s="249" t="s">
        <v>64</v>
      </c>
      <c r="AA4" s="249" t="s">
        <v>63</v>
      </c>
      <c r="AB4" s="249" t="s">
        <v>64</v>
      </c>
      <c r="AC4" s="283"/>
      <c r="AD4" s="249" t="s">
        <v>63</v>
      </c>
      <c r="AE4" s="249" t="s">
        <v>64</v>
      </c>
      <c r="AF4" s="249" t="s">
        <v>63</v>
      </c>
      <c r="AG4" s="249" t="s">
        <v>64</v>
      </c>
      <c r="AH4" s="249" t="s">
        <v>63</v>
      </c>
      <c r="AI4" s="249" t="s">
        <v>64</v>
      </c>
      <c r="AJ4" s="249" t="s">
        <v>63</v>
      </c>
      <c r="AK4" s="249" t="s">
        <v>64</v>
      </c>
      <c r="AL4" s="283"/>
      <c r="AM4" s="249" t="s">
        <v>63</v>
      </c>
      <c r="AN4" s="249" t="s">
        <v>64</v>
      </c>
      <c r="AO4" s="249" t="s">
        <v>63</v>
      </c>
      <c r="AP4" s="249" t="s">
        <v>64</v>
      </c>
      <c r="AQ4" s="249" t="s">
        <v>63</v>
      </c>
      <c r="AR4" s="249" t="s">
        <v>64</v>
      </c>
      <c r="AS4" s="249" t="s">
        <v>63</v>
      </c>
      <c r="AT4" s="249" t="s">
        <v>64</v>
      </c>
      <c r="AU4" s="283"/>
    </row>
    <row r="5" spans="1:47" s="135" customFormat="1" ht="13.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  <c r="AD5" s="22">
        <v>30</v>
      </c>
      <c r="AE5" s="22">
        <v>31</v>
      </c>
      <c r="AF5" s="22">
        <v>32</v>
      </c>
      <c r="AG5" s="22">
        <v>33</v>
      </c>
      <c r="AH5" s="22">
        <v>34</v>
      </c>
      <c r="AI5" s="22">
        <v>35</v>
      </c>
      <c r="AJ5" s="22">
        <v>36</v>
      </c>
      <c r="AK5" s="22">
        <v>37</v>
      </c>
      <c r="AL5" s="22">
        <v>38</v>
      </c>
      <c r="AM5" s="22">
        <v>39</v>
      </c>
      <c r="AN5" s="22">
        <v>40</v>
      </c>
      <c r="AO5" s="22">
        <v>41</v>
      </c>
      <c r="AP5" s="22">
        <v>42</v>
      </c>
      <c r="AQ5" s="22">
        <v>43</v>
      </c>
      <c r="AR5" s="22">
        <v>44</v>
      </c>
      <c r="AS5" s="22">
        <v>45</v>
      </c>
      <c r="AT5" s="22">
        <v>46</v>
      </c>
      <c r="AU5" s="22">
        <v>47</v>
      </c>
    </row>
    <row r="6" spans="1:47" ht="19.5" customHeight="1">
      <c r="A6" s="8">
        <v>1</v>
      </c>
      <c r="B6" s="2" t="s">
        <v>16</v>
      </c>
      <c r="C6" s="7">
        <f>53+576+1121</f>
        <v>1750</v>
      </c>
      <c r="D6" s="9">
        <f>IF($K6=0,"",C6/$K6*100)</f>
        <v>29.797377830750893</v>
      </c>
      <c r="E6" s="7"/>
      <c r="F6" s="9"/>
      <c r="G6" s="7">
        <v>226</v>
      </c>
      <c r="H6" s="9">
        <f>IF($K6=0,"",G6/$K6*100)</f>
        <v>3.8481185084284011</v>
      </c>
      <c r="I6" s="7">
        <f>274+3623</f>
        <v>3897</v>
      </c>
      <c r="J6" s="9">
        <f>IF($K6=0,"",I6/$K6*100)</f>
        <v>66.354503660820711</v>
      </c>
      <c r="K6" s="7">
        <f t="shared" ref="K6:K40" si="0">SUM(C6+E6+G6+I6)</f>
        <v>5873</v>
      </c>
      <c r="L6" s="63">
        <f>42+1716</f>
        <v>1758</v>
      </c>
      <c r="M6" s="9">
        <f>IF($T6=0,"",L6/$T6*100)</f>
        <v>9.2268934026137615</v>
      </c>
      <c r="N6" s="63">
        <v>8707</v>
      </c>
      <c r="O6" s="9">
        <f>IF($T6=0,"",N6/$T6*100)</f>
        <v>45.698840077678057</v>
      </c>
      <c r="P6" s="63">
        <v>821</v>
      </c>
      <c r="Q6" s="9">
        <f>IF($T6=0,"",P6/$T6*100)</f>
        <v>4.3090326982627412</v>
      </c>
      <c r="R6" s="63">
        <f>7767</f>
        <v>7767</v>
      </c>
      <c r="S6" s="9">
        <f>IF($T6=0,"",R6/$T6*100)</f>
        <v>40.765233821445442</v>
      </c>
      <c r="T6" s="63">
        <f>SUM(L6+N6+P6+R6)</f>
        <v>19053</v>
      </c>
      <c r="U6" s="7">
        <f>3+366</f>
        <v>369</v>
      </c>
      <c r="V6" s="9">
        <f>IF($AC6=0,"",U6/$AC6*100)</f>
        <v>2.3415191319246147</v>
      </c>
      <c r="W6" s="7">
        <v>8498</v>
      </c>
      <c r="X6" s="278">
        <f>IF($AC6=0,"",W6/$AC6*100)</f>
        <v>53.92474141760264</v>
      </c>
      <c r="Y6" s="7">
        <v>423</v>
      </c>
      <c r="Z6" s="9">
        <f>IF($AC6=0,"",Y6/$AC6*100)</f>
        <v>2.6841804683038264</v>
      </c>
      <c r="AA6" s="7">
        <v>6469</v>
      </c>
      <c r="AB6" s="9">
        <f>IF($AC6=0,"",AA6/$AC6*100)</f>
        <v>41.049558982168918</v>
      </c>
      <c r="AC6" s="7">
        <f>SUM(U6+W6+Y6+AA6)</f>
        <v>15759</v>
      </c>
      <c r="AD6" s="63">
        <f>16+5058</f>
        <v>5074</v>
      </c>
      <c r="AE6" s="9">
        <f>IF($AL6=0,"",AD6/$AL6*100)</f>
        <v>7.6048020862996655</v>
      </c>
      <c r="AF6" s="63">
        <v>51303</v>
      </c>
      <c r="AG6" s="9">
        <f>IF($AL6=0,"",AF6/$AL6*100)</f>
        <v>76.891833155977878</v>
      </c>
      <c r="AH6" s="63">
        <v>2091</v>
      </c>
      <c r="AI6" s="9">
        <f>IF($AL6=0,"",AH6/$AL6*100)</f>
        <v>3.1339458341451714</v>
      </c>
      <c r="AJ6" s="63">
        <v>8253</v>
      </c>
      <c r="AK6" s="9">
        <f>IF($AL6=0,"",AJ6/$AL6*100)</f>
        <v>12.369418923577284</v>
      </c>
      <c r="AL6" s="63">
        <f>SUM(AD6+AF6+AH6+AJ6)</f>
        <v>66721</v>
      </c>
      <c r="AM6" s="7"/>
      <c r="AN6" s="9"/>
      <c r="AO6" s="7"/>
      <c r="AP6" s="9"/>
      <c r="AQ6" s="7"/>
      <c r="AR6" s="9"/>
      <c r="AS6" s="7"/>
      <c r="AT6" s="9"/>
      <c r="AU6" s="7"/>
    </row>
    <row r="7" spans="1:47" ht="19.5" customHeight="1">
      <c r="A7" s="8">
        <v>2</v>
      </c>
      <c r="B7" s="2" t="s">
        <v>17</v>
      </c>
      <c r="C7" s="7">
        <f>14+88</f>
        <v>102</v>
      </c>
      <c r="D7" s="9">
        <f t="shared" ref="D7:F41" si="1">IF($K7=0,"",C7/$K7*100)</f>
        <v>86.440677966101703</v>
      </c>
      <c r="E7" s="7"/>
      <c r="F7" s="9"/>
      <c r="G7" s="7">
        <v>9</v>
      </c>
      <c r="H7" s="9">
        <f t="shared" ref="H7" si="2">IF($K7=0,"",G7/$K7*100)</f>
        <v>7.6271186440677967</v>
      </c>
      <c r="I7" s="7">
        <v>7</v>
      </c>
      <c r="J7" s="9">
        <f t="shared" ref="J7" si="3">IF($K7=0,"",I7/$K7*100)</f>
        <v>5.9322033898305087</v>
      </c>
      <c r="K7" s="7">
        <f t="shared" si="0"/>
        <v>118</v>
      </c>
      <c r="L7" s="63">
        <v>140</v>
      </c>
      <c r="M7" s="9">
        <f t="shared" ref="M7:O41" si="4">IF($T7=0,"",L7/$T7*100)</f>
        <v>63.636363636363633</v>
      </c>
      <c r="N7" s="63"/>
      <c r="O7" s="9"/>
      <c r="P7" s="63">
        <v>21</v>
      </c>
      <c r="Q7" s="9">
        <f t="shared" ref="Q7" si="5">IF($T7=0,"",P7/$T7*100)</f>
        <v>9.5454545454545467</v>
      </c>
      <c r="R7" s="63">
        <v>59</v>
      </c>
      <c r="S7" s="9">
        <f t="shared" ref="S7" si="6">IF($T7=0,"",R7/$T7*100)</f>
        <v>26.81818181818182</v>
      </c>
      <c r="T7" s="63">
        <f t="shared" ref="T7:T40" si="7">SUM(L7+N7+P7+R7)</f>
        <v>220</v>
      </c>
      <c r="U7" s="7">
        <f>4+814</f>
        <v>818</v>
      </c>
      <c r="V7" s="9">
        <f t="shared" ref="V7:X41" si="8">IF($AC7=0,"",U7/$AC7*100)</f>
        <v>86.560846560846556</v>
      </c>
      <c r="W7" s="7"/>
      <c r="X7" s="278"/>
      <c r="Y7" s="7">
        <v>2</v>
      </c>
      <c r="Z7" s="9">
        <f t="shared" ref="Z7:Z8" si="9">IF($AC7=0,"",Y7/$AC7*100)</f>
        <v>0.21164021164021166</v>
      </c>
      <c r="AA7" s="7">
        <v>125</v>
      </c>
      <c r="AB7" s="9">
        <f t="shared" ref="AB7:AB8" si="10">IF($AC7=0,"",AA7/$AC7*100)</f>
        <v>13.227513227513226</v>
      </c>
      <c r="AC7" s="7">
        <f>SUM(U7+W7+Y7+AA7)</f>
        <v>945</v>
      </c>
      <c r="AD7" s="63">
        <f>0+1911</f>
        <v>1911</v>
      </c>
      <c r="AE7" s="9">
        <f t="shared" ref="AE7" si="11">IF($AL7=0,"",AD7/$AL7*100)</f>
        <v>91.086749285033363</v>
      </c>
      <c r="AF7" s="63"/>
      <c r="AG7" s="9"/>
      <c r="AH7" s="63">
        <v>10</v>
      </c>
      <c r="AI7" s="9">
        <f t="shared" ref="AI7" si="12">IF($AL7=0,"",AH7/$AL7*100)</f>
        <v>0.47664442326024786</v>
      </c>
      <c r="AJ7" s="63">
        <v>177</v>
      </c>
      <c r="AK7" s="9">
        <f>IF($AL7=0,"",AJ7/$AL7*100)</f>
        <v>8.4366062917063882</v>
      </c>
      <c r="AL7" s="63">
        <f>SUM(AD7+AF7+AH7+AJ7)</f>
        <v>2098</v>
      </c>
      <c r="AM7" s="7">
        <f>0+1</f>
        <v>1</v>
      </c>
      <c r="AN7" s="9">
        <f t="shared" ref="AN7:AP41" si="13">IF($AU7=0,"",AM7/$AU7*100)</f>
        <v>9.0909090909090917</v>
      </c>
      <c r="AO7" s="7"/>
      <c r="AP7" s="9"/>
      <c r="AQ7" s="7"/>
      <c r="AR7" s="9"/>
      <c r="AS7" s="7">
        <v>10</v>
      </c>
      <c r="AT7" s="9">
        <f t="shared" ref="AT7" si="14">IF($AU7=0,"",AS7/$AU7*100)</f>
        <v>90.909090909090907</v>
      </c>
      <c r="AU7" s="7">
        <f t="shared" ref="AU7:AU40" si="15">SUM(AM7+AO7+AQ7+AS7)</f>
        <v>11</v>
      </c>
    </row>
    <row r="8" spans="1:47" ht="19.5" customHeight="1">
      <c r="A8" s="8">
        <v>3</v>
      </c>
      <c r="B8" s="2" t="s">
        <v>48</v>
      </c>
      <c r="C8" s="7">
        <f>2120+13</f>
        <v>2133</v>
      </c>
      <c r="D8" s="9">
        <f t="shared" si="1"/>
        <v>45.821697099892589</v>
      </c>
      <c r="E8" s="7"/>
      <c r="F8" s="9"/>
      <c r="G8" s="7">
        <v>1960</v>
      </c>
      <c r="H8" s="9">
        <f t="shared" ref="H8" si="16">IF($K8=0,"",G8/$K8*100)</f>
        <v>42.105263157894733</v>
      </c>
      <c r="I8" s="7">
        <v>562</v>
      </c>
      <c r="J8" s="9">
        <f t="shared" ref="J8" si="17">IF($K8=0,"",I8/$K8*100)</f>
        <v>12.073039742212673</v>
      </c>
      <c r="K8" s="7">
        <f t="shared" si="0"/>
        <v>4655</v>
      </c>
      <c r="L8" s="63">
        <f>635+47</f>
        <v>682</v>
      </c>
      <c r="M8" s="9">
        <f t="shared" si="4"/>
        <v>84.720496894409933</v>
      </c>
      <c r="N8" s="63"/>
      <c r="O8" s="9"/>
      <c r="P8" s="63">
        <v>71</v>
      </c>
      <c r="Q8" s="9">
        <f t="shared" ref="Q8" si="18">IF($T8=0,"",P8/$T8*100)</f>
        <v>8.8198757763975149</v>
      </c>
      <c r="R8" s="63">
        <v>52</v>
      </c>
      <c r="S8" s="9">
        <f t="shared" ref="S8" si="19">IF($T8=0,"",R8/$T8*100)</f>
        <v>6.4596273291925463</v>
      </c>
      <c r="T8" s="63">
        <f t="shared" si="7"/>
        <v>805</v>
      </c>
      <c r="U8" s="7">
        <v>7315</v>
      </c>
      <c r="V8" s="9">
        <v>51.8</v>
      </c>
      <c r="W8" s="7">
        <v>28</v>
      </c>
      <c r="X8" s="278">
        <f t="shared" ref="X8" si="20">IF($AC8=0,"",W8/$AC8*100)</f>
        <v>0.19811788013868251</v>
      </c>
      <c r="Y8" s="7">
        <v>5435</v>
      </c>
      <c r="Z8" s="9">
        <f t="shared" si="9"/>
        <v>38.456095662633558</v>
      </c>
      <c r="AA8" s="7">
        <v>1355</v>
      </c>
      <c r="AB8" s="9">
        <f t="shared" si="10"/>
        <v>9.5874902709969589</v>
      </c>
      <c r="AC8" s="7">
        <v>14133</v>
      </c>
      <c r="AD8" s="63">
        <v>30054</v>
      </c>
      <c r="AE8" s="9">
        <v>96.3</v>
      </c>
      <c r="AF8" s="63">
        <v>580</v>
      </c>
      <c r="AG8" s="9">
        <v>1.9</v>
      </c>
      <c r="AH8" s="63"/>
      <c r="AI8" s="9"/>
      <c r="AJ8" s="63">
        <v>568</v>
      </c>
      <c r="AK8" s="9">
        <v>1.8</v>
      </c>
      <c r="AL8" s="63">
        <v>31202</v>
      </c>
      <c r="AM8" s="7"/>
      <c r="AN8" s="9" t="str">
        <f t="shared" si="13"/>
        <v/>
      </c>
      <c r="AO8" s="7"/>
      <c r="AP8" s="9" t="str">
        <f t="shared" si="13"/>
        <v/>
      </c>
      <c r="AQ8" s="7"/>
      <c r="AR8" s="9" t="str">
        <f t="shared" ref="AR8" si="21">IF($AU8=0,"",AQ8/$AU8*100)</f>
        <v/>
      </c>
      <c r="AS8" s="7"/>
      <c r="AT8" s="9" t="str">
        <f t="shared" ref="AT8" si="22">IF($AU8=0,"",AS8/$AU8*100)</f>
        <v/>
      </c>
      <c r="AU8" s="7"/>
    </row>
    <row r="9" spans="1:47" ht="19.5" customHeight="1">
      <c r="A9" s="8">
        <v>4</v>
      </c>
      <c r="B9" s="3" t="s">
        <v>49</v>
      </c>
      <c r="C9" s="7">
        <f>1332+963</f>
        <v>2295</v>
      </c>
      <c r="D9" s="9">
        <f t="shared" si="1"/>
        <v>92.094703049759232</v>
      </c>
      <c r="E9" s="7"/>
      <c r="F9" s="9"/>
      <c r="G9" s="7">
        <v>156</v>
      </c>
      <c r="H9" s="9">
        <f t="shared" ref="H9" si="23">IF($K9=0,"",G9/$K9*100)</f>
        <v>6.2600321027287329</v>
      </c>
      <c r="I9" s="7">
        <v>41</v>
      </c>
      <c r="J9" s="9">
        <f t="shared" ref="J9" si="24">IF($K9=0,"",I9/$K9*100)</f>
        <v>1.6452648475120384</v>
      </c>
      <c r="K9" s="7">
        <f t="shared" si="0"/>
        <v>2492</v>
      </c>
      <c r="L9" s="63">
        <v>2256</v>
      </c>
      <c r="M9" s="9">
        <f t="shared" si="4"/>
        <v>86.50306748466258</v>
      </c>
      <c r="N9" s="63"/>
      <c r="O9" s="9"/>
      <c r="P9" s="63">
        <v>224</v>
      </c>
      <c r="Q9" s="9">
        <f t="shared" ref="Q9" si="25">IF($T9=0,"",P9/$T9*100)</f>
        <v>8.5889570552147241</v>
      </c>
      <c r="R9" s="63">
        <v>128</v>
      </c>
      <c r="S9" s="9">
        <f t="shared" ref="S9" si="26">IF($T9=0,"",R9/$T9*100)</f>
        <v>4.9079754601226995</v>
      </c>
      <c r="T9" s="63">
        <f t="shared" si="7"/>
        <v>2608</v>
      </c>
      <c r="U9" s="7">
        <v>27452</v>
      </c>
      <c r="V9" s="9">
        <f t="shared" si="8"/>
        <v>99.391745112237501</v>
      </c>
      <c r="W9" s="7"/>
      <c r="X9" s="278"/>
      <c r="Y9" s="7">
        <v>82</v>
      </c>
      <c r="Z9" s="9">
        <f t="shared" ref="Z9" si="27">IF($AC9=0,"",Y9/$AC9*100)</f>
        <v>0.29688631426502538</v>
      </c>
      <c r="AA9" s="7">
        <v>86</v>
      </c>
      <c r="AB9" s="9">
        <f t="shared" ref="AB9" si="28">IF($AC9=0,"",AA9/$AC9*100)</f>
        <v>0.31136857349746561</v>
      </c>
      <c r="AC9" s="7">
        <f t="shared" ref="AC9:AC40" si="29">SUM(U9+W9+Y9+AA9)</f>
        <v>27620</v>
      </c>
      <c r="AD9" s="63">
        <v>42050</v>
      </c>
      <c r="AE9" s="9">
        <f t="shared" ref="AE9:AE10" si="30">IF($AL9=0,"",AD9/$AL9*100)</f>
        <v>99.852773556231</v>
      </c>
      <c r="AF9" s="63"/>
      <c r="AG9" s="9"/>
      <c r="AH9" s="63">
        <v>18</v>
      </c>
      <c r="AI9" s="9">
        <f t="shared" ref="AI9" si="31">IF($AL9=0,"",AH9/$AL9*100)</f>
        <v>4.2743161094224921E-2</v>
      </c>
      <c r="AJ9" s="63">
        <v>44</v>
      </c>
      <c r="AK9" s="9">
        <f t="shared" ref="AK9" si="32">IF($AL9=0,"",AJ9/$AL9*100)</f>
        <v>0.10448328267477203</v>
      </c>
      <c r="AL9" s="63">
        <f t="shared" ref="AL9:AL24" si="33">SUM(AD9+AF9+AH9+AJ9)</f>
        <v>42112</v>
      </c>
      <c r="AM9" s="7">
        <v>1</v>
      </c>
      <c r="AN9" s="9">
        <f t="shared" si="13"/>
        <v>100</v>
      </c>
      <c r="AO9" s="7"/>
      <c r="AP9" s="9"/>
      <c r="AQ9" s="7"/>
      <c r="AR9" s="9"/>
      <c r="AS9" s="7"/>
      <c r="AT9" s="9"/>
      <c r="AU9" s="7">
        <f t="shared" si="15"/>
        <v>1</v>
      </c>
    </row>
    <row r="10" spans="1:47" ht="19.5" customHeight="1">
      <c r="A10" s="8">
        <v>5</v>
      </c>
      <c r="B10" s="3" t="s">
        <v>19</v>
      </c>
      <c r="C10" s="7">
        <f>0+1707</f>
        <v>1707</v>
      </c>
      <c r="D10" s="9">
        <f t="shared" si="1"/>
        <v>57.923311842551747</v>
      </c>
      <c r="E10" s="7">
        <f>0+26</f>
        <v>26</v>
      </c>
      <c r="F10" s="9">
        <f t="shared" si="1"/>
        <v>0.88225313878520528</v>
      </c>
      <c r="G10" s="7">
        <f>0+98</f>
        <v>98</v>
      </c>
      <c r="H10" s="9">
        <f t="shared" ref="H10" si="34">IF($K10=0,"",G10/$K10*100)</f>
        <v>3.3254156769596199</v>
      </c>
      <c r="I10" s="7">
        <f>0+1116</f>
        <v>1116</v>
      </c>
      <c r="J10" s="9">
        <f t="shared" ref="J10" si="35">IF($K10=0,"",I10/$K10*100)</f>
        <v>37.869019341703428</v>
      </c>
      <c r="K10" s="7">
        <f t="shared" si="0"/>
        <v>2947</v>
      </c>
      <c r="L10" s="63">
        <f>0+2136</f>
        <v>2136</v>
      </c>
      <c r="M10" s="9">
        <f t="shared" si="4"/>
        <v>76.122594440484676</v>
      </c>
      <c r="N10" s="63">
        <v>1</v>
      </c>
      <c r="O10" s="9">
        <f t="shared" si="4"/>
        <v>3.5637918745545262E-2</v>
      </c>
      <c r="P10" s="63">
        <f>0+14</f>
        <v>14</v>
      </c>
      <c r="Q10" s="9">
        <f t="shared" ref="Q10" si="36">IF($T10=0,"",P10/$T10*100)</f>
        <v>0.49893086243763368</v>
      </c>
      <c r="R10" s="63">
        <f>0+655</f>
        <v>655</v>
      </c>
      <c r="S10" s="9">
        <f t="shared" ref="S10" si="37">IF($T10=0,"",R10/$T10*100)</f>
        <v>23.342836778332146</v>
      </c>
      <c r="T10" s="63">
        <f t="shared" si="7"/>
        <v>2806</v>
      </c>
      <c r="U10" s="7">
        <f>0+13698</f>
        <v>13698</v>
      </c>
      <c r="V10" s="9">
        <f t="shared" si="8"/>
        <v>86.243153056727323</v>
      </c>
      <c r="W10" s="7"/>
      <c r="X10" s="278"/>
      <c r="Y10" s="7">
        <f>0+105</f>
        <v>105</v>
      </c>
      <c r="Z10" s="9">
        <f t="shared" ref="Z10" si="38">IF($AC10=0,"",Y10/$AC10*100)</f>
        <v>0.66108417805200537</v>
      </c>
      <c r="AA10" s="7">
        <f>0+2080</f>
        <v>2080</v>
      </c>
      <c r="AB10" s="9">
        <f t="shared" ref="AB10" si="39">IF($AC10=0,"",AA10/$AC10*100)</f>
        <v>13.095762765220675</v>
      </c>
      <c r="AC10" s="7">
        <f t="shared" si="29"/>
        <v>15883</v>
      </c>
      <c r="AD10" s="63">
        <f>0+32929</f>
        <v>32929</v>
      </c>
      <c r="AE10" s="9">
        <f t="shared" si="30"/>
        <v>93.146073772346682</v>
      </c>
      <c r="AF10" s="63"/>
      <c r="AG10" s="9"/>
      <c r="AH10" s="63">
        <f>0+278</f>
        <v>278</v>
      </c>
      <c r="AI10" s="9">
        <f t="shared" ref="AI10" si="40">IF($AL10=0,"",AH10/$AL10*100)</f>
        <v>0.78637700837293512</v>
      </c>
      <c r="AJ10" s="63">
        <f>0+2145</f>
        <v>2145</v>
      </c>
      <c r="AK10" s="9">
        <f t="shared" ref="AK10" si="41">IF($AL10=0,"",AJ10/$AL10*100)</f>
        <v>6.0675492192803802</v>
      </c>
      <c r="AL10" s="63">
        <f t="shared" si="33"/>
        <v>35352</v>
      </c>
      <c r="AM10" s="7">
        <f>0+135</f>
        <v>135</v>
      </c>
      <c r="AN10" s="9">
        <f t="shared" si="13"/>
        <v>14.106583072100312</v>
      </c>
      <c r="AO10" s="7">
        <f>0+3</f>
        <v>3</v>
      </c>
      <c r="AP10" s="9">
        <f t="shared" si="13"/>
        <v>0.31347962382445138</v>
      </c>
      <c r="AQ10" s="7">
        <f>0+4</f>
        <v>4</v>
      </c>
      <c r="AR10" s="9">
        <f t="shared" ref="AR10" si="42">IF($AU10=0,"",AQ10/$AU10*100)</f>
        <v>0.41797283176593525</v>
      </c>
      <c r="AS10" s="7">
        <f>0+815</f>
        <v>815</v>
      </c>
      <c r="AT10" s="9">
        <f t="shared" ref="AT10:AT27" si="43">IF($AU10=0,"",AS10/$AU10*100)</f>
        <v>85.161964472309307</v>
      </c>
      <c r="AU10" s="7">
        <f t="shared" si="15"/>
        <v>957</v>
      </c>
    </row>
    <row r="11" spans="1:47" ht="19.5" customHeight="1">
      <c r="A11" s="8">
        <v>6</v>
      </c>
      <c r="B11" s="2" t="s">
        <v>20</v>
      </c>
      <c r="C11" s="7">
        <f>0+16</f>
        <v>16</v>
      </c>
      <c r="D11" s="9">
        <f t="shared" si="1"/>
        <v>18.604651162790699</v>
      </c>
      <c r="E11" s="7"/>
      <c r="F11" s="9"/>
      <c r="G11" s="7">
        <f>0+67</f>
        <v>67</v>
      </c>
      <c r="H11" s="9">
        <f t="shared" ref="H11" si="44">IF($K11=0,"",G11/$K11*100)</f>
        <v>77.906976744186053</v>
      </c>
      <c r="I11" s="7">
        <f>0+3</f>
        <v>3</v>
      </c>
      <c r="J11" s="9">
        <f t="shared" ref="J11" si="45">IF($K11=0,"",I11/$K11*100)</f>
        <v>3.4883720930232558</v>
      </c>
      <c r="K11" s="7">
        <f t="shared" si="0"/>
        <v>86</v>
      </c>
      <c r="L11" s="63">
        <f>0+81</f>
        <v>81</v>
      </c>
      <c r="M11" s="9">
        <f t="shared" si="4"/>
        <v>21.315789473684209</v>
      </c>
      <c r="N11" s="63"/>
      <c r="O11" s="9">
        <f t="shared" si="4"/>
        <v>0</v>
      </c>
      <c r="P11" s="63">
        <f>0+284</f>
        <v>284</v>
      </c>
      <c r="Q11" s="9">
        <f t="shared" ref="Q11" si="46">IF($T11=0,"",P11/$T11*100)</f>
        <v>74.73684210526315</v>
      </c>
      <c r="R11" s="63">
        <f>0+15</f>
        <v>15</v>
      </c>
      <c r="S11" s="9">
        <f t="shared" ref="S11" si="47">IF($T11=0,"",R11/$T11*100)</f>
        <v>3.9473684210526314</v>
      </c>
      <c r="T11" s="63">
        <f t="shared" si="7"/>
        <v>380</v>
      </c>
      <c r="U11" s="7">
        <f>0+131</f>
        <v>131</v>
      </c>
      <c r="V11" s="9">
        <f t="shared" si="8"/>
        <v>28.416485900216919</v>
      </c>
      <c r="W11" s="7"/>
      <c r="X11" s="278"/>
      <c r="Y11" s="7">
        <f>0+305</f>
        <v>305</v>
      </c>
      <c r="Z11" s="9">
        <f t="shared" ref="Z11" si="48">IF($AC11=0,"",Y11/$AC11*100)</f>
        <v>66.160520607375275</v>
      </c>
      <c r="AA11" s="7">
        <f>0+25</f>
        <v>25</v>
      </c>
      <c r="AB11" s="9">
        <f t="shared" ref="AB11" si="49">IF($AC11=0,"",AA11/$AC11*100)</f>
        <v>5.4229934924078096</v>
      </c>
      <c r="AC11" s="7">
        <f t="shared" si="29"/>
        <v>461</v>
      </c>
      <c r="AD11" s="63">
        <f>0+899</f>
        <v>899</v>
      </c>
      <c r="AE11" s="9">
        <f t="shared" ref="AE11:AG41" si="50">IF($AL11=0,"",AD11/$AL11*100)</f>
        <v>73.089430894308933</v>
      </c>
      <c r="AF11" s="63"/>
      <c r="AG11" s="9"/>
      <c r="AH11" s="63">
        <f>0+178</f>
        <v>178</v>
      </c>
      <c r="AI11" s="9">
        <f t="shared" ref="AI11" si="51">IF($AL11=0,"",AH11/$AL11*100)</f>
        <v>14.471544715447154</v>
      </c>
      <c r="AJ11" s="63">
        <f>0+153</f>
        <v>153</v>
      </c>
      <c r="AK11" s="9">
        <f t="shared" ref="AK11" si="52">IF($AL11=0,"",AJ11/$AL11*100)</f>
        <v>12.439024390243903</v>
      </c>
      <c r="AL11" s="63">
        <f t="shared" si="33"/>
        <v>1230</v>
      </c>
      <c r="AM11" s="7"/>
      <c r="AN11" s="9"/>
      <c r="AO11" s="7"/>
      <c r="AP11" s="9" t="str">
        <f t="shared" si="13"/>
        <v/>
      </c>
      <c r="AQ11" s="7"/>
      <c r="AR11" s="9"/>
      <c r="AS11" s="7"/>
      <c r="AT11" s="9" t="str">
        <f t="shared" si="43"/>
        <v/>
      </c>
      <c r="AU11" s="7"/>
    </row>
    <row r="12" spans="1:47" ht="19.5" customHeight="1">
      <c r="A12" s="8">
        <v>7</v>
      </c>
      <c r="B12" s="2" t="s">
        <v>21</v>
      </c>
      <c r="C12" s="7">
        <v>506</v>
      </c>
      <c r="D12" s="9">
        <f t="shared" si="1"/>
        <v>8.8943575320794519</v>
      </c>
      <c r="E12" s="7">
        <v>147</v>
      </c>
      <c r="F12" s="9">
        <f t="shared" si="1"/>
        <v>2.5839339075408683</v>
      </c>
      <c r="G12" s="7">
        <v>3056</v>
      </c>
      <c r="H12" s="9">
        <f t="shared" ref="H12" si="53">IF($K12=0,"",G12/$K12*100)</f>
        <v>53.717700826155735</v>
      </c>
      <c r="I12" s="7">
        <v>1980</v>
      </c>
      <c r="J12" s="9">
        <f t="shared" ref="J12" si="54">IF($K12=0,"",I12/$K12*100)</f>
        <v>34.804007734223944</v>
      </c>
      <c r="K12" s="7">
        <f t="shared" si="0"/>
        <v>5689</v>
      </c>
      <c r="L12" s="63">
        <v>227</v>
      </c>
      <c r="M12" s="9">
        <f t="shared" si="4"/>
        <v>6.4433721260289527</v>
      </c>
      <c r="N12" s="63">
        <v>75</v>
      </c>
      <c r="O12" s="9">
        <f t="shared" si="4"/>
        <v>2.1288674425205789</v>
      </c>
      <c r="P12" s="63">
        <v>1763</v>
      </c>
      <c r="Q12" s="9">
        <f t="shared" ref="Q12" si="55">IF($T12=0,"",P12/$T12*100)</f>
        <v>50.042577348850415</v>
      </c>
      <c r="R12" s="63">
        <v>1458</v>
      </c>
      <c r="S12" s="9">
        <f t="shared" ref="S12" si="56">IF($T12=0,"",R12/$T12*100)</f>
        <v>41.385183082600058</v>
      </c>
      <c r="T12" s="63">
        <f t="shared" si="7"/>
        <v>3523</v>
      </c>
      <c r="U12" s="7"/>
      <c r="V12" s="9"/>
      <c r="W12" s="7">
        <v>32772</v>
      </c>
      <c r="X12" s="278">
        <f t="shared" si="8"/>
        <v>77.760113892513942</v>
      </c>
      <c r="Y12" s="7">
        <v>9373</v>
      </c>
      <c r="Z12" s="9">
        <f t="shared" ref="Z12" si="57">IF($AC12=0,"",Y12/$AC12*100)</f>
        <v>22.239886107486058</v>
      </c>
      <c r="AA12" s="7"/>
      <c r="AB12" s="9"/>
      <c r="AC12" s="7">
        <f t="shared" si="29"/>
        <v>42145</v>
      </c>
      <c r="AD12" s="63"/>
      <c r="AE12" s="9"/>
      <c r="AF12" s="63"/>
      <c r="AG12" s="9" t="str">
        <f t="shared" ref="AG12" si="58">IF($AL12=0,"",AF12/$AL12*100)</f>
        <v/>
      </c>
      <c r="AH12" s="63"/>
      <c r="AI12" s="9" t="str">
        <f t="shared" ref="AI12" si="59">IF($AL12=0,"",AH12/$AL12*100)</f>
        <v/>
      </c>
      <c r="AJ12" s="63"/>
      <c r="AK12" s="9" t="str">
        <f t="shared" ref="AK12" si="60">IF($AL12=0,"",AJ12/$AL12*100)</f>
        <v/>
      </c>
      <c r="AL12" s="63"/>
      <c r="AM12" s="7"/>
      <c r="AN12" s="9" t="str">
        <f t="shared" si="13"/>
        <v/>
      </c>
      <c r="AO12" s="7"/>
      <c r="AP12" s="9" t="str">
        <f t="shared" si="13"/>
        <v/>
      </c>
      <c r="AQ12" s="7"/>
      <c r="AR12" s="9" t="str">
        <f t="shared" ref="AR12" si="61">IF($AL12=0,"",AQ12/$AL12*100)</f>
        <v/>
      </c>
      <c r="AS12" s="7"/>
      <c r="AT12" s="9" t="str">
        <f t="shared" si="43"/>
        <v/>
      </c>
      <c r="AU12" s="7">
        <f t="shared" si="15"/>
        <v>0</v>
      </c>
    </row>
    <row r="13" spans="1:47" ht="19.5" customHeight="1">
      <c r="A13" s="8">
        <v>8</v>
      </c>
      <c r="B13" s="2" t="s">
        <v>22</v>
      </c>
      <c r="C13" s="7">
        <v>1558</v>
      </c>
      <c r="D13" s="9">
        <f t="shared" si="1"/>
        <v>45.343422584400464</v>
      </c>
      <c r="E13" s="7"/>
      <c r="F13" s="9"/>
      <c r="G13" s="7">
        <v>117</v>
      </c>
      <c r="H13" s="9">
        <f t="shared" ref="H13" si="62">IF($K13=0,"",G13/$K13*100)</f>
        <v>3.4051222351571599</v>
      </c>
      <c r="I13" s="7">
        <v>1761</v>
      </c>
      <c r="J13" s="9">
        <f t="shared" ref="J13" si="63">IF($K13=0,"",I13/$K13*100)</f>
        <v>51.25145518044237</v>
      </c>
      <c r="K13" s="7">
        <f t="shared" si="0"/>
        <v>3436</v>
      </c>
      <c r="L13" s="63">
        <v>1609</v>
      </c>
      <c r="M13" s="9">
        <f t="shared" si="4"/>
        <v>45.426312817617166</v>
      </c>
      <c r="N13" s="63"/>
      <c r="O13" s="9"/>
      <c r="P13" s="63">
        <v>80</v>
      </c>
      <c r="Q13" s="9">
        <f t="shared" ref="Q13" si="64">IF($T13=0,"",P13/$T13*100)</f>
        <v>2.2586109542631281</v>
      </c>
      <c r="R13" s="63">
        <v>1853</v>
      </c>
      <c r="S13" s="9">
        <f t="shared" ref="S13" si="65">IF($T13=0,"",R13/$T13*100)</f>
        <v>52.315076228119707</v>
      </c>
      <c r="T13" s="63">
        <f t="shared" si="7"/>
        <v>3542</v>
      </c>
      <c r="U13" s="7">
        <v>2331</v>
      </c>
      <c r="V13" s="9">
        <f t="shared" si="8"/>
        <v>66.925064599483207</v>
      </c>
      <c r="W13" s="7"/>
      <c r="X13" s="278"/>
      <c r="Y13" s="7">
        <v>5</v>
      </c>
      <c r="Z13" s="9">
        <f t="shared" ref="Z13" si="66">IF($AC13=0,"",Y13/$AC13*100)</f>
        <v>0.1435544071202986</v>
      </c>
      <c r="AA13" s="7">
        <v>1147</v>
      </c>
      <c r="AB13" s="9">
        <f t="shared" ref="AB13" si="67">IF($AC13=0,"",AA13/$AC13*100)</f>
        <v>32.931380993396495</v>
      </c>
      <c r="AC13" s="7">
        <f t="shared" si="29"/>
        <v>3483</v>
      </c>
      <c r="AD13" s="63">
        <v>9343</v>
      </c>
      <c r="AE13" s="9">
        <f t="shared" si="50"/>
        <v>66.797740759276465</v>
      </c>
      <c r="AF13" s="63"/>
      <c r="AG13" s="9"/>
      <c r="AH13" s="63">
        <v>171</v>
      </c>
      <c r="AI13" s="9">
        <f t="shared" ref="AI13" si="68">IF($AL13=0,"",AH13/$AL13*100)</f>
        <v>1.2225638092514477</v>
      </c>
      <c r="AJ13" s="63">
        <v>4473</v>
      </c>
      <c r="AK13" s="9">
        <f t="shared" ref="AK13" si="69">IF($AL13=0,"",AJ13/$AL13*100)</f>
        <v>31.979695431472084</v>
      </c>
      <c r="AL13" s="63">
        <f t="shared" si="33"/>
        <v>13987</v>
      </c>
      <c r="AM13" s="7">
        <v>17</v>
      </c>
      <c r="AN13" s="9">
        <f t="shared" si="13"/>
        <v>100</v>
      </c>
      <c r="AO13" s="7"/>
      <c r="AP13" s="9">
        <f t="shared" si="13"/>
        <v>0</v>
      </c>
      <c r="AQ13" s="7"/>
      <c r="AR13" s="9"/>
      <c r="AS13" s="7"/>
      <c r="AT13" s="9">
        <f t="shared" si="43"/>
        <v>0</v>
      </c>
      <c r="AU13" s="7">
        <f t="shared" si="15"/>
        <v>17</v>
      </c>
    </row>
    <row r="14" spans="1:47" ht="19.5" customHeight="1">
      <c r="A14" s="8">
        <v>9</v>
      </c>
      <c r="B14" s="2" t="s">
        <v>50</v>
      </c>
      <c r="C14" s="7">
        <f>0+1318</f>
        <v>1318</v>
      </c>
      <c r="D14" s="9">
        <f t="shared" si="1"/>
        <v>73.83753501400561</v>
      </c>
      <c r="E14" s="7"/>
      <c r="F14" s="9"/>
      <c r="G14" s="7">
        <f>0+22</f>
        <v>22</v>
      </c>
      <c r="H14" s="9">
        <f t="shared" ref="H14" si="70">IF($K14=0,"",G14/$K14*100)</f>
        <v>1.2324929971988796</v>
      </c>
      <c r="I14" s="7">
        <f>0+445</f>
        <v>445</v>
      </c>
      <c r="J14" s="9">
        <f t="shared" ref="J14" si="71">IF($K14=0,"",I14/$K14*100)</f>
        <v>24.929971988795518</v>
      </c>
      <c r="K14" s="7">
        <f t="shared" si="0"/>
        <v>1785</v>
      </c>
      <c r="L14" s="63">
        <f>0+852</f>
        <v>852</v>
      </c>
      <c r="M14" s="9">
        <f t="shared" si="4"/>
        <v>56.163480553724455</v>
      </c>
      <c r="N14" s="63">
        <f>0+1</f>
        <v>1</v>
      </c>
      <c r="O14" s="9">
        <f t="shared" si="4"/>
        <v>6.5919578114700061E-2</v>
      </c>
      <c r="P14" s="63">
        <f>0+14</f>
        <v>14</v>
      </c>
      <c r="Q14" s="9">
        <f t="shared" ref="Q14" si="72">IF($T14=0,"",P14/$T14*100)</f>
        <v>0.92287409360580097</v>
      </c>
      <c r="R14" s="63">
        <f>0+650</f>
        <v>650</v>
      </c>
      <c r="S14" s="9">
        <f t="shared" ref="S14" si="73">IF($T14=0,"",R14/$T14*100)</f>
        <v>42.847725774555045</v>
      </c>
      <c r="T14" s="63">
        <f t="shared" si="7"/>
        <v>1517</v>
      </c>
      <c r="U14" s="7">
        <f>0+2278</f>
        <v>2278</v>
      </c>
      <c r="V14" s="9">
        <f t="shared" si="8"/>
        <v>76.110925492816577</v>
      </c>
      <c r="W14" s="7">
        <f>0+2</f>
        <v>2</v>
      </c>
      <c r="X14" s="278">
        <f t="shared" si="8"/>
        <v>6.682258603407952E-2</v>
      </c>
      <c r="Y14" s="7">
        <f>0+5</f>
        <v>5</v>
      </c>
      <c r="Z14" s="9">
        <f t="shared" ref="Z14" si="74">IF($AC14=0,"",Y14/$AC14*100)</f>
        <v>0.16705646508519881</v>
      </c>
      <c r="AA14" s="7">
        <f>0+708</f>
        <v>708</v>
      </c>
      <c r="AB14" s="9">
        <f t="shared" ref="AB14" si="75">IF($AC14=0,"",AA14/$AC14*100)</f>
        <v>23.655195456064149</v>
      </c>
      <c r="AC14" s="7">
        <f t="shared" si="29"/>
        <v>2993</v>
      </c>
      <c r="AD14" s="63">
        <f>0+10577</f>
        <v>10577</v>
      </c>
      <c r="AE14" s="9">
        <f t="shared" si="50"/>
        <v>94.319600499375781</v>
      </c>
      <c r="AF14" s="63">
        <f>0+0</f>
        <v>0</v>
      </c>
      <c r="AG14" s="9">
        <f t="shared" si="50"/>
        <v>0</v>
      </c>
      <c r="AH14" s="63">
        <f>0+3</f>
        <v>3</v>
      </c>
      <c r="AI14" s="9">
        <f t="shared" ref="AI14" si="76">IF($AL14=0,"",AH14/$AL14*100)</f>
        <v>2.6752273943285176E-2</v>
      </c>
      <c r="AJ14" s="63">
        <f>0+634</f>
        <v>634</v>
      </c>
      <c r="AK14" s="9">
        <f t="shared" ref="AK14" si="77">IF($AL14=0,"",AJ14/$AL14*100)</f>
        <v>5.6536472266809339</v>
      </c>
      <c r="AL14" s="63">
        <f t="shared" si="33"/>
        <v>11214</v>
      </c>
      <c r="AM14" s="7">
        <f>0+14</f>
        <v>14</v>
      </c>
      <c r="AN14" s="9">
        <f t="shared" si="13"/>
        <v>100</v>
      </c>
      <c r="AO14" s="7"/>
      <c r="AP14" s="9">
        <f t="shared" si="13"/>
        <v>0</v>
      </c>
      <c r="AQ14" s="7"/>
      <c r="AR14" s="9"/>
      <c r="AS14" s="7"/>
      <c r="AT14" s="9">
        <f t="shared" si="43"/>
        <v>0</v>
      </c>
      <c r="AU14" s="7">
        <f t="shared" si="15"/>
        <v>14</v>
      </c>
    </row>
    <row r="15" spans="1:47" s="24" customFormat="1" ht="19.5" customHeight="1">
      <c r="A15" s="25">
        <v>10</v>
      </c>
      <c r="B15" s="2" t="s">
        <v>51</v>
      </c>
      <c r="C15" s="7">
        <v>604</v>
      </c>
      <c r="D15" s="9">
        <f t="shared" si="1"/>
        <v>67.941507311586051</v>
      </c>
      <c r="E15" s="7"/>
      <c r="F15" s="9"/>
      <c r="G15" s="7">
        <v>2</v>
      </c>
      <c r="H15" s="9">
        <f t="shared" ref="H15:H17" si="78">IF($K15=0,"",G15/$K15*100)</f>
        <v>0.22497187851518563</v>
      </c>
      <c r="I15" s="7">
        <v>283</v>
      </c>
      <c r="J15" s="9">
        <f t="shared" ref="J15" si="79">IF($K15=0,"",I15/$K15*100)</f>
        <v>31.833520809898765</v>
      </c>
      <c r="K15" s="7">
        <f t="shared" si="0"/>
        <v>889</v>
      </c>
      <c r="L15" s="63">
        <v>1196</v>
      </c>
      <c r="M15" s="9">
        <f t="shared" si="4"/>
        <v>53.971119133574007</v>
      </c>
      <c r="N15" s="63"/>
      <c r="O15" s="9"/>
      <c r="P15" s="63"/>
      <c r="Q15" s="9"/>
      <c r="R15" s="63">
        <v>1020</v>
      </c>
      <c r="S15" s="9">
        <f t="shared" ref="S15" si="80">IF($T15=0,"",R15/$T15*100)</f>
        <v>46.028880866425993</v>
      </c>
      <c r="T15" s="63">
        <f t="shared" si="7"/>
        <v>2216</v>
      </c>
      <c r="U15" s="7">
        <v>6962</v>
      </c>
      <c r="V15" s="9">
        <f t="shared" si="8"/>
        <v>78.427396643010027</v>
      </c>
      <c r="W15" s="7"/>
      <c r="X15" s="278"/>
      <c r="Y15" s="7"/>
      <c r="Z15" s="9"/>
      <c r="AA15" s="7">
        <v>1915</v>
      </c>
      <c r="AB15" s="9">
        <f t="shared" ref="AB15" si="81">IF($AC15=0,"",AA15/$AC15*100)</f>
        <v>21.572603356989976</v>
      </c>
      <c r="AC15" s="7">
        <f t="shared" si="29"/>
        <v>8877</v>
      </c>
      <c r="AD15" s="63">
        <v>13825</v>
      </c>
      <c r="AE15" s="9">
        <f t="shared" si="50"/>
        <v>89.505373559497599</v>
      </c>
      <c r="AF15" s="63">
        <v>1</v>
      </c>
      <c r="AG15" s="9">
        <f t="shared" si="50"/>
        <v>6.4741680694030811E-3</v>
      </c>
      <c r="AH15" s="63"/>
      <c r="AI15" s="9"/>
      <c r="AJ15" s="63">
        <v>1620</v>
      </c>
      <c r="AK15" s="9">
        <f t="shared" ref="AK15" si="82">IF($AL15=0,"",AJ15/$AL15*100)</f>
        <v>10.488152272432991</v>
      </c>
      <c r="AL15" s="63">
        <f t="shared" si="33"/>
        <v>15446</v>
      </c>
      <c r="AM15" s="7"/>
      <c r="AN15" s="9" t="str">
        <f t="shared" si="13"/>
        <v/>
      </c>
      <c r="AO15" s="7"/>
      <c r="AP15" s="9" t="str">
        <f t="shared" si="13"/>
        <v/>
      </c>
      <c r="AQ15" s="7"/>
      <c r="AR15" s="9"/>
      <c r="AS15" s="7"/>
      <c r="AT15" s="9" t="str">
        <f t="shared" si="43"/>
        <v/>
      </c>
      <c r="AU15" s="7"/>
    </row>
    <row r="16" spans="1:47" s="24" customFormat="1" ht="19.5" customHeight="1">
      <c r="A16" s="25">
        <v>11</v>
      </c>
      <c r="B16" s="2" t="s">
        <v>52</v>
      </c>
      <c r="C16" s="7"/>
      <c r="D16" s="9"/>
      <c r="E16" s="7"/>
      <c r="F16" s="9"/>
      <c r="G16" s="7"/>
      <c r="H16" s="9"/>
      <c r="I16" s="7"/>
      <c r="J16" s="9"/>
      <c r="K16" s="7">
        <v>1118</v>
      </c>
      <c r="L16" s="63"/>
      <c r="M16" s="9"/>
      <c r="N16" s="63"/>
      <c r="O16" s="9"/>
      <c r="P16" s="63"/>
      <c r="Q16" s="9"/>
      <c r="R16" s="63"/>
      <c r="S16" s="9"/>
      <c r="T16" s="63">
        <v>4225</v>
      </c>
      <c r="U16" s="7"/>
      <c r="V16" s="9"/>
      <c r="W16" s="7"/>
      <c r="X16" s="278"/>
      <c r="Y16" s="7"/>
      <c r="Z16" s="9"/>
      <c r="AA16" s="7"/>
      <c r="AB16" s="9"/>
      <c r="AC16" s="7">
        <v>14863</v>
      </c>
      <c r="AD16" s="63"/>
      <c r="AE16" s="9"/>
      <c r="AF16" s="63"/>
      <c r="AG16" s="9"/>
      <c r="AH16" s="63"/>
      <c r="AI16" s="9"/>
      <c r="AJ16" s="63"/>
      <c r="AK16" s="9"/>
      <c r="AL16" s="63">
        <v>26731</v>
      </c>
      <c r="AM16" s="7">
        <v>95</v>
      </c>
      <c r="AN16" s="9">
        <f t="shared" si="13"/>
        <v>100</v>
      </c>
      <c r="AO16" s="7"/>
      <c r="AP16" s="9">
        <f t="shared" si="13"/>
        <v>0</v>
      </c>
      <c r="AQ16" s="7"/>
      <c r="AR16" s="9"/>
      <c r="AS16" s="7"/>
      <c r="AT16" s="9">
        <f t="shared" si="43"/>
        <v>0</v>
      </c>
      <c r="AU16" s="7">
        <v>95</v>
      </c>
    </row>
    <row r="17" spans="1:47" ht="19.5" customHeight="1">
      <c r="A17" s="8">
        <v>12</v>
      </c>
      <c r="B17" s="2" t="s">
        <v>25</v>
      </c>
      <c r="C17" s="7">
        <v>1200</v>
      </c>
      <c r="D17" s="9">
        <f t="shared" si="1"/>
        <v>32.930845225027447</v>
      </c>
      <c r="E17" s="7">
        <v>13</v>
      </c>
      <c r="F17" s="9">
        <f t="shared" si="1"/>
        <v>0.35675082327113067</v>
      </c>
      <c r="G17" s="7">
        <v>803</v>
      </c>
      <c r="H17" s="9">
        <f t="shared" si="78"/>
        <v>22.036223929747532</v>
      </c>
      <c r="I17" s="7">
        <v>1628</v>
      </c>
      <c r="J17" s="9">
        <f t="shared" ref="J17" si="83">IF($K17=0,"",I17/$K17*100)</f>
        <v>44.676180021953897</v>
      </c>
      <c r="K17" s="7">
        <f t="shared" si="0"/>
        <v>3644</v>
      </c>
      <c r="L17" s="63">
        <f>4437+446+67</f>
        <v>4950</v>
      </c>
      <c r="M17" s="9">
        <f t="shared" si="4"/>
        <v>35.740072202166068</v>
      </c>
      <c r="N17" s="63">
        <v>44</v>
      </c>
      <c r="O17" s="9">
        <f t="shared" si="4"/>
        <v>0.3176895306859206</v>
      </c>
      <c r="P17" s="63">
        <v>3335</v>
      </c>
      <c r="Q17" s="9">
        <f t="shared" ref="Q17" si="84">IF($T17=0,"",P17/$T17*100)</f>
        <v>24.079422382671481</v>
      </c>
      <c r="R17" s="63">
        <v>5521</v>
      </c>
      <c r="S17" s="9">
        <f t="shared" ref="S17" si="85">IF($T17=0,"",R17/$T17*100)</f>
        <v>39.862815884476532</v>
      </c>
      <c r="T17" s="63">
        <f t="shared" si="7"/>
        <v>13850</v>
      </c>
      <c r="U17" s="7">
        <f>22601+539+73</f>
        <v>23213</v>
      </c>
      <c r="V17" s="9">
        <f t="shared" si="8"/>
        <v>69.123339884461913</v>
      </c>
      <c r="W17" s="7">
        <v>21</v>
      </c>
      <c r="X17" s="278">
        <f t="shared" si="8"/>
        <v>6.2533500089333574E-2</v>
      </c>
      <c r="Y17" s="7">
        <v>2339</v>
      </c>
      <c r="Z17" s="9">
        <f t="shared" ref="Z17" si="86">IF($AC17=0,"",Y17/$AC17*100)</f>
        <v>6.9650407956643443</v>
      </c>
      <c r="AA17" s="7">
        <v>8009</v>
      </c>
      <c r="AB17" s="9">
        <f t="shared" ref="AB17" si="87">IF($AC17=0,"",AA17/$AC17*100)</f>
        <v>23.849085819784406</v>
      </c>
      <c r="AC17" s="7">
        <f t="shared" si="29"/>
        <v>33582</v>
      </c>
      <c r="AD17" s="63">
        <f>22599+164+3</f>
        <v>22766</v>
      </c>
      <c r="AE17" s="9">
        <f t="shared" si="50"/>
        <v>87.7336313538094</v>
      </c>
      <c r="AF17" s="63">
        <v>4</v>
      </c>
      <c r="AG17" s="9">
        <f t="shared" si="50"/>
        <v>1.5414852210104437E-2</v>
      </c>
      <c r="AH17" s="63">
        <v>228</v>
      </c>
      <c r="AI17" s="9">
        <f t="shared" ref="AI17" si="88">IF($AL17=0,"",AH17/$AL17*100)</f>
        <v>0.87864657597595286</v>
      </c>
      <c r="AJ17" s="63">
        <v>2951</v>
      </c>
      <c r="AK17" s="9">
        <f t="shared" ref="AK17" si="89">IF($AL17=0,"",AJ17/$AL17*100)</f>
        <v>11.372307218004547</v>
      </c>
      <c r="AL17" s="63">
        <f t="shared" si="33"/>
        <v>25949</v>
      </c>
      <c r="AM17" s="7"/>
      <c r="AN17" s="9" t="str">
        <f t="shared" si="13"/>
        <v/>
      </c>
      <c r="AO17" s="7"/>
      <c r="AP17" s="9" t="str">
        <f t="shared" si="13"/>
        <v/>
      </c>
      <c r="AQ17" s="7"/>
      <c r="AR17" s="9" t="str">
        <f t="shared" ref="AR17" si="90">IF($AU17=0,"",AQ17/$AU17*100)</f>
        <v/>
      </c>
      <c r="AS17" s="7"/>
      <c r="AT17" s="9" t="str">
        <f t="shared" si="43"/>
        <v/>
      </c>
      <c r="AU17" s="7"/>
    </row>
    <row r="18" spans="1:47" ht="19.5" customHeight="1">
      <c r="A18" s="8">
        <v>13</v>
      </c>
      <c r="B18" s="2" t="s">
        <v>53</v>
      </c>
      <c r="C18" s="7">
        <f>41+911</f>
        <v>952</v>
      </c>
      <c r="D18" s="9">
        <f t="shared" si="1"/>
        <v>35.207100591715978</v>
      </c>
      <c r="E18" s="7"/>
      <c r="F18" s="9"/>
      <c r="G18" s="7">
        <v>779</v>
      </c>
      <c r="H18" s="9"/>
      <c r="I18" s="7">
        <v>973</v>
      </c>
      <c r="J18" s="9">
        <f t="shared" ref="J18" si="91">IF($K18=0,"",I18/$K18*100)</f>
        <v>35.98372781065089</v>
      </c>
      <c r="K18" s="7">
        <f t="shared" si="0"/>
        <v>2704</v>
      </c>
      <c r="L18" s="63">
        <f>0+202</f>
        <v>202</v>
      </c>
      <c r="M18" s="9">
        <f t="shared" si="4"/>
        <v>12.625</v>
      </c>
      <c r="N18" s="63"/>
      <c r="O18" s="9"/>
      <c r="P18" s="63">
        <v>751</v>
      </c>
      <c r="Q18" s="9">
        <f t="shared" ref="Q18" si="92">IF($T18=0,"",P18/$T18*100)</f>
        <v>46.9375</v>
      </c>
      <c r="R18" s="63">
        <v>647</v>
      </c>
      <c r="S18" s="9">
        <f t="shared" ref="S18" si="93">IF($T18=0,"",R18/$T18*100)</f>
        <v>40.4375</v>
      </c>
      <c r="T18" s="63">
        <f t="shared" si="7"/>
        <v>1600</v>
      </c>
      <c r="U18" s="7">
        <v>928</v>
      </c>
      <c r="V18" s="9">
        <f t="shared" si="8"/>
        <v>30.912724850099931</v>
      </c>
      <c r="W18" s="7"/>
      <c r="X18" s="278">
        <f t="shared" si="8"/>
        <v>0</v>
      </c>
      <c r="Y18" s="7">
        <v>1854</v>
      </c>
      <c r="Z18" s="9">
        <f t="shared" ref="Z18" si="94">IF($AC18=0,"",Y18/$AC18*100)</f>
        <v>61.758827448367761</v>
      </c>
      <c r="AA18" s="7">
        <v>220</v>
      </c>
      <c r="AB18" s="9">
        <f t="shared" ref="AB18" si="95">IF($AC18=0,"",AA18/$AC18*100)</f>
        <v>7.328447701532312</v>
      </c>
      <c r="AC18" s="7">
        <f t="shared" si="29"/>
        <v>3002</v>
      </c>
      <c r="AD18" s="63">
        <f>0+2607</f>
        <v>2607</v>
      </c>
      <c r="AE18" s="9">
        <f t="shared" si="50"/>
        <v>38.417329796640146</v>
      </c>
      <c r="AF18" s="63"/>
      <c r="AG18" s="9"/>
      <c r="AH18" s="63">
        <v>3911</v>
      </c>
      <c r="AI18" s="9">
        <f t="shared" ref="AI18" si="96">IF($AL18=0,"",AH18/$AL18*100)</f>
        <v>57.633362805776599</v>
      </c>
      <c r="AJ18" s="63">
        <v>268</v>
      </c>
      <c r="AK18" s="9">
        <f t="shared" ref="AK18" si="97">IF($AL18=0,"",AJ18/$AL18*100)</f>
        <v>3.9493073975832598</v>
      </c>
      <c r="AL18" s="63">
        <f t="shared" si="33"/>
        <v>6786</v>
      </c>
      <c r="AM18" s="7"/>
      <c r="AN18" s="9"/>
      <c r="AO18" s="7"/>
      <c r="AP18" s="9" t="str">
        <f t="shared" si="13"/>
        <v/>
      </c>
      <c r="AQ18" s="7"/>
      <c r="AR18" s="9"/>
      <c r="AS18" s="7"/>
      <c r="AT18" s="9" t="str">
        <f t="shared" si="43"/>
        <v/>
      </c>
      <c r="AU18" s="7"/>
    </row>
    <row r="19" spans="1:47" ht="19.5" customHeight="1">
      <c r="A19" s="8">
        <v>14</v>
      </c>
      <c r="B19" s="2" t="s">
        <v>27</v>
      </c>
      <c r="C19" s="7">
        <v>2690</v>
      </c>
      <c r="D19" s="9">
        <f t="shared" si="1"/>
        <v>46.124828532235938</v>
      </c>
      <c r="E19" s="7">
        <v>21</v>
      </c>
      <c r="F19" s="9">
        <f t="shared" si="1"/>
        <v>0.360082304526749</v>
      </c>
      <c r="G19" s="7">
        <v>261</v>
      </c>
      <c r="H19" s="9">
        <f t="shared" ref="H19:H20" si="98">IF($K19=0,"",G19/$K19*100)</f>
        <v>4.4753086419753085</v>
      </c>
      <c r="I19" s="7">
        <v>2860</v>
      </c>
      <c r="J19" s="9">
        <f t="shared" ref="J19" si="99">IF($K19=0,"",I19/$K19*100)</f>
        <v>49.039780521262003</v>
      </c>
      <c r="K19" s="7">
        <f t="shared" si="0"/>
        <v>5832</v>
      </c>
      <c r="L19" s="63">
        <v>4392</v>
      </c>
      <c r="M19" s="9">
        <f t="shared" si="4"/>
        <v>61.850443599493033</v>
      </c>
      <c r="N19" s="63">
        <v>1</v>
      </c>
      <c r="O19" s="9">
        <f t="shared" si="4"/>
        <v>1.4082523588227008E-2</v>
      </c>
      <c r="P19" s="63">
        <v>57</v>
      </c>
      <c r="Q19" s="9">
        <f t="shared" ref="Q19" si="100">IF($T19=0,"",P19/$T19*100)</f>
        <v>0.80270384452893961</v>
      </c>
      <c r="R19" s="63">
        <v>2651</v>
      </c>
      <c r="S19" s="9">
        <f t="shared" ref="S19" si="101">IF($T19=0,"",R19/$T19*100)</f>
        <v>37.332770032389803</v>
      </c>
      <c r="T19" s="63">
        <f t="shared" si="7"/>
        <v>7101</v>
      </c>
      <c r="U19" s="7">
        <v>83412</v>
      </c>
      <c r="V19" s="9">
        <v>86.2</v>
      </c>
      <c r="W19" s="7"/>
      <c r="X19" s="278"/>
      <c r="Y19" s="7">
        <v>852</v>
      </c>
      <c r="Z19" s="9">
        <f t="shared" ref="Z19" si="102">IF($AC19=0,"",Y19/$AC19*100)</f>
        <v>0.88019256795148615</v>
      </c>
      <c r="AA19" s="7">
        <v>12533</v>
      </c>
      <c r="AB19" s="9">
        <f t="shared" ref="AB19" si="103">IF($AC19=0,"",AA19/$AC19*100)</f>
        <v>12.94771532175584</v>
      </c>
      <c r="AC19" s="7">
        <f t="shared" si="29"/>
        <v>96797</v>
      </c>
      <c r="AD19" s="63">
        <v>28479</v>
      </c>
      <c r="AE19" s="9">
        <f t="shared" si="50"/>
        <v>65.226054692867947</v>
      </c>
      <c r="AF19" s="63"/>
      <c r="AG19" s="9"/>
      <c r="AH19" s="63">
        <v>410</v>
      </c>
      <c r="AI19" s="9">
        <f t="shared" ref="AI19" si="104">IF($AL19=0,"",AH19/$AL19*100)</f>
        <v>0.93903165223764362</v>
      </c>
      <c r="AJ19" s="63">
        <v>14773</v>
      </c>
      <c r="AK19" s="9">
        <f t="shared" ref="AK19" si="105">IF($AL19=0,"",AJ19/$AL19*100)</f>
        <v>33.834913654894414</v>
      </c>
      <c r="AL19" s="63">
        <f t="shared" si="33"/>
        <v>43662</v>
      </c>
      <c r="AM19" s="7"/>
      <c r="AN19" s="9"/>
      <c r="AO19" s="7"/>
      <c r="AP19" s="9" t="str">
        <f t="shared" si="13"/>
        <v/>
      </c>
      <c r="AQ19" s="7"/>
      <c r="AR19" s="9"/>
      <c r="AS19" s="7"/>
      <c r="AT19" s="9" t="str">
        <f t="shared" si="43"/>
        <v/>
      </c>
      <c r="AU19" s="7"/>
    </row>
    <row r="20" spans="1:47" ht="19.5" customHeight="1">
      <c r="A20" s="8">
        <v>15</v>
      </c>
      <c r="B20" s="2" t="s">
        <v>28</v>
      </c>
      <c r="C20" s="7">
        <v>409</v>
      </c>
      <c r="D20" s="9">
        <f t="shared" si="1"/>
        <v>5.5813318777292578</v>
      </c>
      <c r="E20" s="7">
        <v>370</v>
      </c>
      <c r="F20" s="9">
        <f t="shared" si="1"/>
        <v>5.0491266375545854</v>
      </c>
      <c r="G20" s="7">
        <f>0+3598</f>
        <v>3598</v>
      </c>
      <c r="H20" s="9">
        <f t="shared" si="98"/>
        <v>49.099344978165938</v>
      </c>
      <c r="I20" s="7">
        <f>0+2951</f>
        <v>2951</v>
      </c>
      <c r="J20" s="9">
        <f t="shared" ref="J20" si="106">IF($K20=0,"",I20/$K20*100)</f>
        <v>40.270196506550221</v>
      </c>
      <c r="K20" s="7">
        <f t="shared" si="0"/>
        <v>7328</v>
      </c>
      <c r="L20" s="63">
        <f>0+1036</f>
        <v>1036</v>
      </c>
      <c r="M20" s="9">
        <f t="shared" si="4"/>
        <v>7.0428280081577155</v>
      </c>
      <c r="N20" s="63">
        <f>0+826</f>
        <v>826</v>
      </c>
      <c r="O20" s="9">
        <f t="shared" si="4"/>
        <v>5.6152277362338552</v>
      </c>
      <c r="P20" s="63">
        <f>0+10402</f>
        <v>10402</v>
      </c>
      <c r="Q20" s="9">
        <f t="shared" ref="Q20" si="107">IF($T20=0,"",P20/$T20*100)</f>
        <v>70.713800135961932</v>
      </c>
      <c r="R20" s="63">
        <f>0+2446</f>
        <v>2446</v>
      </c>
      <c r="S20" s="9">
        <f t="shared" ref="S20" si="108">IF($T20=0,"",R20/$T20*100)</f>
        <v>16.6281441196465</v>
      </c>
      <c r="T20" s="63">
        <f t="shared" si="7"/>
        <v>14710</v>
      </c>
      <c r="U20" s="7">
        <f>0+1187</f>
        <v>1187</v>
      </c>
      <c r="V20" s="9">
        <f t="shared" si="8"/>
        <v>4.0974835168628534</v>
      </c>
      <c r="W20" s="7">
        <f>0+22357</f>
        <v>22357</v>
      </c>
      <c r="X20" s="278">
        <f t="shared" si="8"/>
        <v>77.175601505057131</v>
      </c>
      <c r="Y20" s="7">
        <f>0+2470</f>
        <v>2470</v>
      </c>
      <c r="Z20" s="9">
        <f t="shared" ref="Z20" si="109">IF($AC20=0,"",Y20/$AC20*100)</f>
        <v>8.5263557596050941</v>
      </c>
      <c r="AA20" s="7">
        <f>0+2955</f>
        <v>2955</v>
      </c>
      <c r="AB20" s="9">
        <f t="shared" ref="AB20" si="110">IF($AC20=0,"",AA20/$AC20*100)</f>
        <v>10.20055921847492</v>
      </c>
      <c r="AC20" s="7">
        <f t="shared" si="29"/>
        <v>28969</v>
      </c>
      <c r="AD20" s="63">
        <f>0+526</f>
        <v>526</v>
      </c>
      <c r="AE20" s="9">
        <f t="shared" si="50"/>
        <v>1.0537914454572774</v>
      </c>
      <c r="AF20" s="63">
        <f>0+43204</f>
        <v>43204</v>
      </c>
      <c r="AG20" s="9">
        <f t="shared" si="50"/>
        <v>86.555143744365424</v>
      </c>
      <c r="AH20" s="63">
        <f>0+2588</f>
        <v>2588</v>
      </c>
      <c r="AI20" s="9">
        <f t="shared" ref="AI20" si="111">IF($AL20=0,"",AH20/$AL20*100)</f>
        <v>5.1848141841129927</v>
      </c>
      <c r="AJ20" s="63">
        <f>0+3597</f>
        <v>3597</v>
      </c>
      <c r="AK20" s="9">
        <f t="shared" ref="AK20" si="112">IF($AL20=0,"",AJ20/$AL20*100)</f>
        <v>7.2062506260643087</v>
      </c>
      <c r="AL20" s="63">
        <f t="shared" si="33"/>
        <v>49915</v>
      </c>
      <c r="AM20" s="7">
        <v>29064</v>
      </c>
      <c r="AN20" s="9">
        <v>51.8</v>
      </c>
      <c r="AO20" s="7">
        <v>17700</v>
      </c>
      <c r="AP20" s="9">
        <f t="shared" si="13"/>
        <v>31.525514293347584</v>
      </c>
      <c r="AQ20" s="7">
        <v>2208</v>
      </c>
      <c r="AR20" s="9">
        <v>3.9</v>
      </c>
      <c r="AS20" s="7">
        <v>7173</v>
      </c>
      <c r="AT20" s="9">
        <f t="shared" si="43"/>
        <v>12.77584825006679</v>
      </c>
      <c r="AU20" s="7">
        <v>56145</v>
      </c>
    </row>
    <row r="21" spans="1:47" ht="23.25" customHeight="1">
      <c r="A21" s="8">
        <v>16</v>
      </c>
      <c r="B21" s="2" t="s">
        <v>29</v>
      </c>
      <c r="C21" s="7">
        <f>15+36</f>
        <v>51</v>
      </c>
      <c r="D21" s="9">
        <f t="shared" si="1"/>
        <v>43.220338983050851</v>
      </c>
      <c r="E21" s="7"/>
      <c r="F21" s="9"/>
      <c r="G21" s="7"/>
      <c r="H21" s="9"/>
      <c r="I21" s="7">
        <v>67</v>
      </c>
      <c r="J21" s="9">
        <f t="shared" ref="J21" si="113">IF($K21=0,"",I21/$K21*100)</f>
        <v>56.779661016949156</v>
      </c>
      <c r="K21" s="7">
        <f t="shared" si="0"/>
        <v>118</v>
      </c>
      <c r="L21" s="63">
        <f>3+262</f>
        <v>265</v>
      </c>
      <c r="M21" s="9">
        <f t="shared" si="4"/>
        <v>35.006605019815055</v>
      </c>
      <c r="N21" s="63"/>
      <c r="O21" s="9"/>
      <c r="P21" s="63">
        <v>103</v>
      </c>
      <c r="Q21" s="9">
        <f t="shared" ref="Q21" si="114">IF($T21=0,"",P21/$T21*100)</f>
        <v>13.606340819022458</v>
      </c>
      <c r="R21" s="63">
        <v>389</v>
      </c>
      <c r="S21" s="9">
        <f t="shared" ref="S21" si="115">IF($T21=0,"",R21/$T21*100)</f>
        <v>51.387054161162482</v>
      </c>
      <c r="T21" s="63">
        <f t="shared" si="7"/>
        <v>757</v>
      </c>
      <c r="U21" s="7">
        <v>245</v>
      </c>
      <c r="V21" s="9">
        <f t="shared" si="8"/>
        <v>33.424283765347887</v>
      </c>
      <c r="W21" s="7"/>
      <c r="X21" s="278"/>
      <c r="Y21" s="7">
        <v>96</v>
      </c>
      <c r="Z21" s="9">
        <f t="shared" ref="Z21" si="116">IF($AC21=0,"",Y21/$AC21*100)</f>
        <v>13.096862210095498</v>
      </c>
      <c r="AA21" s="7">
        <v>392</v>
      </c>
      <c r="AB21" s="9">
        <f t="shared" ref="AB21" si="117">IF($AC21=0,"",AA21/$AC21*100)</f>
        <v>53.478854024556618</v>
      </c>
      <c r="AC21" s="7">
        <f t="shared" si="29"/>
        <v>733</v>
      </c>
      <c r="AD21" s="63">
        <v>1875</v>
      </c>
      <c r="AE21" s="9">
        <f t="shared" si="50"/>
        <v>77.47933884297521</v>
      </c>
      <c r="AF21" s="63"/>
      <c r="AG21" s="9"/>
      <c r="AH21" s="63">
        <v>405</v>
      </c>
      <c r="AI21" s="9">
        <f t="shared" ref="AI21" si="118">IF($AL21=0,"",AH21/$AL21*100)</f>
        <v>16.735537190082646</v>
      </c>
      <c r="AJ21" s="63">
        <v>140</v>
      </c>
      <c r="AK21" s="9">
        <f t="shared" ref="AK21" si="119">IF($AL21=0,"",AJ21/$AL21*100)</f>
        <v>5.785123966942149</v>
      </c>
      <c r="AL21" s="63">
        <f t="shared" si="33"/>
        <v>2420</v>
      </c>
      <c r="AM21" s="7">
        <v>1</v>
      </c>
      <c r="AN21" s="9">
        <f t="shared" si="13"/>
        <v>100</v>
      </c>
      <c r="AO21" s="7"/>
      <c r="AP21" s="9">
        <f t="shared" si="13"/>
        <v>0</v>
      </c>
      <c r="AQ21" s="7"/>
      <c r="AR21" s="9"/>
      <c r="AS21" s="7"/>
      <c r="AT21" s="9">
        <f t="shared" si="43"/>
        <v>0</v>
      </c>
      <c r="AU21" s="7">
        <f t="shared" si="15"/>
        <v>1</v>
      </c>
    </row>
    <row r="22" spans="1:47" ht="19.5" customHeight="1">
      <c r="A22" s="8">
        <v>17</v>
      </c>
      <c r="B22" s="2" t="s">
        <v>30</v>
      </c>
      <c r="C22" s="7">
        <f>4+19</f>
        <v>23</v>
      </c>
      <c r="D22" s="9">
        <f t="shared" si="1"/>
        <v>14.110429447852759</v>
      </c>
      <c r="E22" s="7"/>
      <c r="F22" s="9"/>
      <c r="G22" s="7">
        <v>115</v>
      </c>
      <c r="H22" s="9">
        <f t="shared" ref="H22" si="120">IF($K22=0,"",G22/$K22*100)</f>
        <v>70.552147239263803</v>
      </c>
      <c r="I22" s="7">
        <v>25</v>
      </c>
      <c r="J22" s="9">
        <f t="shared" ref="J22" si="121">IF($K22=0,"",I22/$K22*100)</f>
        <v>15.337423312883436</v>
      </c>
      <c r="K22" s="7">
        <f t="shared" si="0"/>
        <v>163</v>
      </c>
      <c r="L22" s="63">
        <f>1+9</f>
        <v>10</v>
      </c>
      <c r="M22" s="9">
        <f t="shared" si="4"/>
        <v>1.1834319526627219</v>
      </c>
      <c r="N22" s="63"/>
      <c r="O22" s="9"/>
      <c r="P22" s="63">
        <v>494</v>
      </c>
      <c r="Q22" s="9">
        <f t="shared" ref="Q22" si="122">IF($T22=0,"",P22/$T22*100)</f>
        <v>58.461538461538467</v>
      </c>
      <c r="R22" s="63">
        <v>341</v>
      </c>
      <c r="S22" s="9">
        <f t="shared" ref="S22" si="123">IF($T22=0,"",R22/$T22*100)</f>
        <v>40.355029585798817</v>
      </c>
      <c r="T22" s="63">
        <f t="shared" si="7"/>
        <v>845</v>
      </c>
      <c r="U22" s="7">
        <v>48</v>
      </c>
      <c r="V22" s="9">
        <f t="shared" si="8"/>
        <v>1.4837712519319939</v>
      </c>
      <c r="W22" s="7"/>
      <c r="X22" s="278"/>
      <c r="Y22" s="7">
        <v>3067</v>
      </c>
      <c r="Z22" s="9">
        <f t="shared" ref="Z22" si="124">IF($AC22=0,"",Y22/$AC22*100)</f>
        <v>94.806800618238015</v>
      </c>
      <c r="AA22" s="7">
        <v>120</v>
      </c>
      <c r="AB22" s="9">
        <f t="shared" ref="AB22" si="125">IF($AC22=0,"",AA22/$AC22*100)</f>
        <v>3.7094281298299845</v>
      </c>
      <c r="AC22" s="7">
        <f t="shared" si="29"/>
        <v>3235</v>
      </c>
      <c r="AD22" s="63">
        <v>2555</v>
      </c>
      <c r="AE22" s="9">
        <f t="shared" si="50"/>
        <v>28.135667877987007</v>
      </c>
      <c r="AF22" s="63"/>
      <c r="AG22" s="9"/>
      <c r="AH22" s="63">
        <v>5278</v>
      </c>
      <c r="AI22" s="9">
        <f t="shared" ref="AI22" si="126">IF($AL22=0,"",AH22/$AL22*100)</f>
        <v>58.12135227397863</v>
      </c>
      <c r="AJ22" s="63">
        <v>1248</v>
      </c>
      <c r="AK22" s="9">
        <f t="shared" ref="AK22" si="127">IF($AL22=0,"",AJ22/$AL22*100)</f>
        <v>13.742979848034356</v>
      </c>
      <c r="AL22" s="63">
        <f t="shared" si="33"/>
        <v>9081</v>
      </c>
      <c r="AM22" s="7">
        <v>301</v>
      </c>
      <c r="AN22" s="9">
        <f t="shared" si="13"/>
        <v>42.334739803094237</v>
      </c>
      <c r="AO22" s="7"/>
      <c r="AP22" s="9">
        <f t="shared" si="13"/>
        <v>0</v>
      </c>
      <c r="AQ22" s="7">
        <v>410</v>
      </c>
      <c r="AR22" s="9">
        <f t="shared" ref="AR22:AR29" si="128">IF($AU22=0,"",AQ22/$AU22*100)</f>
        <v>57.665260196905763</v>
      </c>
      <c r="AS22" s="7"/>
      <c r="AT22" s="9">
        <f t="shared" si="43"/>
        <v>0</v>
      </c>
      <c r="AU22" s="7">
        <f t="shared" si="15"/>
        <v>711</v>
      </c>
    </row>
    <row r="23" spans="1:47" ht="19.5" customHeight="1">
      <c r="A23" s="8">
        <v>18</v>
      </c>
      <c r="B23" s="2" t="s">
        <v>31</v>
      </c>
      <c r="C23" s="7">
        <f>2+20</f>
        <v>22</v>
      </c>
      <c r="D23" s="9">
        <f t="shared" si="1"/>
        <v>19.469026548672566</v>
      </c>
      <c r="E23" s="7"/>
      <c r="F23" s="9"/>
      <c r="G23" s="7">
        <v>31</v>
      </c>
      <c r="H23" s="9">
        <f t="shared" ref="H23:H25" si="129">IF($K23=0,"",G23/$K23*100)</f>
        <v>27.43362831858407</v>
      </c>
      <c r="I23" s="7">
        <v>60</v>
      </c>
      <c r="J23" s="9">
        <f t="shared" ref="J23" si="130">IF($K23=0,"",I23/$K23*100)</f>
        <v>53.097345132743371</v>
      </c>
      <c r="K23" s="7">
        <f t="shared" si="0"/>
        <v>113</v>
      </c>
      <c r="L23" s="63">
        <f>8+199</f>
        <v>207</v>
      </c>
      <c r="M23" s="9">
        <f t="shared" si="4"/>
        <v>38.121546961325969</v>
      </c>
      <c r="N23" s="63"/>
      <c r="O23" s="9"/>
      <c r="P23" s="63">
        <v>174</v>
      </c>
      <c r="Q23" s="9">
        <f t="shared" ref="Q23" si="131">IF($T23=0,"",P23/$T23*100)</f>
        <v>32.044198895027627</v>
      </c>
      <c r="R23" s="63">
        <v>162</v>
      </c>
      <c r="S23" s="9">
        <f t="shared" ref="S23" si="132">IF($T23=0,"",R23/$T23*100)</f>
        <v>29.834254143646412</v>
      </c>
      <c r="T23" s="63">
        <f t="shared" si="7"/>
        <v>543</v>
      </c>
      <c r="U23" s="7">
        <f>9+533</f>
        <v>542</v>
      </c>
      <c r="V23" s="9">
        <f t="shared" si="8"/>
        <v>39.190166305133765</v>
      </c>
      <c r="W23" s="7">
        <v>87</v>
      </c>
      <c r="X23" s="278">
        <f t="shared" si="8"/>
        <v>6.2906724511930596</v>
      </c>
      <c r="Y23" s="7">
        <v>383</v>
      </c>
      <c r="Z23" s="9">
        <f t="shared" ref="Z23" si="133">IF($AC23=0,"",Y23/$AC23*100)</f>
        <v>27.693420101229211</v>
      </c>
      <c r="AA23" s="7">
        <v>371</v>
      </c>
      <c r="AB23" s="9">
        <f t="shared" ref="AB23" si="134">IF($AC23=0,"",AA23/$AC23*100)</f>
        <v>26.825741142443967</v>
      </c>
      <c r="AC23" s="7">
        <f t="shared" si="29"/>
        <v>1383</v>
      </c>
      <c r="AD23" s="63">
        <f>4+865</f>
        <v>869</v>
      </c>
      <c r="AE23" s="9">
        <f t="shared" si="50"/>
        <v>46.846361185983824</v>
      </c>
      <c r="AF23" s="63">
        <v>278</v>
      </c>
      <c r="AG23" s="9">
        <f t="shared" si="50"/>
        <v>14.986522911051212</v>
      </c>
      <c r="AH23" s="63">
        <v>213</v>
      </c>
      <c r="AI23" s="9">
        <f t="shared" ref="AI23" si="135">IF($AL23=0,"",AH23/$AL23*100)</f>
        <v>11.482479784366577</v>
      </c>
      <c r="AJ23" s="63">
        <v>495</v>
      </c>
      <c r="AK23" s="9">
        <f t="shared" ref="AK23" si="136">IF($AL23=0,"",AJ23/$AL23*100)</f>
        <v>26.68463611859838</v>
      </c>
      <c r="AL23" s="63">
        <f t="shared" si="33"/>
        <v>1855</v>
      </c>
      <c r="AM23" s="7"/>
      <c r="AN23" s="9" t="str">
        <f t="shared" si="13"/>
        <v/>
      </c>
      <c r="AO23" s="7"/>
      <c r="AP23" s="9" t="str">
        <f t="shared" si="13"/>
        <v/>
      </c>
      <c r="AQ23" s="7"/>
      <c r="AR23" s="9" t="str">
        <f t="shared" si="128"/>
        <v/>
      </c>
      <c r="AS23" s="7"/>
      <c r="AT23" s="9" t="str">
        <f t="shared" si="43"/>
        <v/>
      </c>
      <c r="AU23" s="7">
        <f t="shared" si="15"/>
        <v>0</v>
      </c>
    </row>
    <row r="24" spans="1:47" s="24" customFormat="1" ht="19.5" customHeight="1">
      <c r="A24" s="25">
        <v>19</v>
      </c>
      <c r="B24" s="2" t="s">
        <v>54</v>
      </c>
      <c r="C24" s="7">
        <v>35</v>
      </c>
      <c r="D24" s="9">
        <f t="shared" si="1"/>
        <v>26.515151515151516</v>
      </c>
      <c r="E24" s="7"/>
      <c r="F24" s="9"/>
      <c r="G24" s="7"/>
      <c r="H24" s="9"/>
      <c r="I24" s="7">
        <v>97</v>
      </c>
      <c r="J24" s="9">
        <f t="shared" ref="J24:J25" si="137">IF($K24=0,"",I24/$K24*100)</f>
        <v>73.484848484848484</v>
      </c>
      <c r="K24" s="7">
        <f t="shared" si="0"/>
        <v>132</v>
      </c>
      <c r="L24" s="63">
        <v>175</v>
      </c>
      <c r="M24" s="9">
        <f t="shared" si="4"/>
        <v>37.960954446854664</v>
      </c>
      <c r="N24" s="63"/>
      <c r="O24" s="9"/>
      <c r="P24" s="63"/>
      <c r="Q24" s="9"/>
      <c r="R24" s="63">
        <v>286</v>
      </c>
      <c r="S24" s="9">
        <f t="shared" ref="S24" si="138">IF($T24=0,"",R24/$T24*100)</f>
        <v>62.039045553145336</v>
      </c>
      <c r="T24" s="63">
        <f t="shared" si="7"/>
        <v>461</v>
      </c>
      <c r="U24" s="7">
        <v>287</v>
      </c>
      <c r="V24" s="9">
        <f t="shared" si="8"/>
        <v>61.72043010752688</v>
      </c>
      <c r="W24" s="7"/>
      <c r="X24" s="278"/>
      <c r="Y24" s="7"/>
      <c r="Z24" s="9"/>
      <c r="AA24" s="7">
        <v>178</v>
      </c>
      <c r="AB24" s="9">
        <f t="shared" ref="AB24" si="139">IF($AC24=0,"",AA24/$AC24*100)</f>
        <v>38.27956989247312</v>
      </c>
      <c r="AC24" s="7">
        <f t="shared" si="29"/>
        <v>465</v>
      </c>
      <c r="AD24" s="63">
        <v>1442</v>
      </c>
      <c r="AE24" s="9">
        <f t="shared" si="50"/>
        <v>86.762936221419977</v>
      </c>
      <c r="AF24" s="63"/>
      <c r="AG24" s="9"/>
      <c r="AH24" s="63"/>
      <c r="AI24" s="9"/>
      <c r="AJ24" s="63">
        <v>220</v>
      </c>
      <c r="AK24" s="9">
        <f t="shared" ref="AK24" si="140">IF($AL24=0,"",AJ24/$AL24*100)</f>
        <v>13.237063778580024</v>
      </c>
      <c r="AL24" s="63">
        <f t="shared" si="33"/>
        <v>1662</v>
      </c>
      <c r="AM24" s="7"/>
      <c r="AN24" s="9" t="str">
        <f t="shared" si="13"/>
        <v/>
      </c>
      <c r="AO24" s="7"/>
      <c r="AP24" s="9" t="str">
        <f t="shared" si="13"/>
        <v/>
      </c>
      <c r="AQ24" s="7"/>
      <c r="AR24" s="9" t="str">
        <f t="shared" si="128"/>
        <v/>
      </c>
      <c r="AS24" s="7"/>
      <c r="AT24" s="9" t="str">
        <f t="shared" si="43"/>
        <v/>
      </c>
      <c r="AU24" s="7">
        <f t="shared" si="15"/>
        <v>0</v>
      </c>
    </row>
    <row r="25" spans="1:47" s="259" customFormat="1" ht="19.5" customHeight="1">
      <c r="A25" s="257">
        <v>20</v>
      </c>
      <c r="B25" s="258" t="s">
        <v>55</v>
      </c>
      <c r="C25" s="7">
        <v>51</v>
      </c>
      <c r="D25" s="9">
        <f t="shared" si="1"/>
        <v>3.9020657995409334</v>
      </c>
      <c r="E25" s="7"/>
      <c r="F25" s="9"/>
      <c r="G25" s="7"/>
      <c r="H25" s="9">
        <f t="shared" si="129"/>
        <v>0</v>
      </c>
      <c r="I25" s="7"/>
      <c r="J25" s="9">
        <f t="shared" si="137"/>
        <v>0</v>
      </c>
      <c r="K25" s="7">
        <v>1307</v>
      </c>
      <c r="L25" s="63">
        <v>4046</v>
      </c>
      <c r="M25" s="9">
        <f t="shared" si="4"/>
        <v>50.739904690243286</v>
      </c>
      <c r="N25" s="63">
        <v>36</v>
      </c>
      <c r="O25" s="9">
        <f t="shared" si="4"/>
        <v>0.45146726862302478</v>
      </c>
      <c r="P25" s="63">
        <v>2525</v>
      </c>
      <c r="Q25" s="9">
        <f t="shared" ref="Q25" si="141">IF($T25=0,"",P25/$T25*100)</f>
        <v>31.665412590920493</v>
      </c>
      <c r="R25" s="63">
        <v>1367</v>
      </c>
      <c r="S25" s="9">
        <f t="shared" ref="S25" si="142">IF($T25=0,"",R25/$T25*100)</f>
        <v>17.143215450213191</v>
      </c>
      <c r="T25" s="63">
        <f t="shared" si="7"/>
        <v>7974</v>
      </c>
      <c r="U25" s="7">
        <v>18934</v>
      </c>
      <c r="V25" s="9">
        <f t="shared" si="8"/>
        <v>83.597509823833278</v>
      </c>
      <c r="W25" s="7"/>
      <c r="X25" s="278"/>
      <c r="Y25" s="7">
        <v>1603</v>
      </c>
      <c r="Z25" s="9">
        <f t="shared" ref="Z25" si="143">IF($AC25=0,"",Y25/$AC25*100)</f>
        <v>7.0775751688816282</v>
      </c>
      <c r="AA25" s="7">
        <v>2112</v>
      </c>
      <c r="AB25" s="9">
        <f t="shared" ref="AB25" si="144">IF($AC25=0,"",AA25/$AC25*100)</f>
        <v>9.3249150072850888</v>
      </c>
      <c r="AC25" s="7">
        <f t="shared" si="29"/>
        <v>22649</v>
      </c>
      <c r="AD25" s="63">
        <v>50239</v>
      </c>
      <c r="AE25" s="9">
        <f t="shared" si="50"/>
        <v>92.777469990766392</v>
      </c>
      <c r="AF25" s="63">
        <v>4</v>
      </c>
      <c r="AG25" s="9">
        <f t="shared" si="50"/>
        <v>7.3868882733148667E-3</v>
      </c>
      <c r="AH25" s="63">
        <v>354</v>
      </c>
      <c r="AI25" s="9">
        <f t="shared" ref="AI25" si="145">IF($AL25=0,"",AH25/$AL25*100)</f>
        <v>0.65373961218836563</v>
      </c>
      <c r="AJ25" s="63">
        <v>3553</v>
      </c>
      <c r="AK25" s="9">
        <f t="shared" ref="AK25" si="146">IF($AL25=0,"",AJ25/$AL25*100)</f>
        <v>6.5614035087719307</v>
      </c>
      <c r="AL25" s="63">
        <f>SUM(AD25+AF25+AH25+AJ25)</f>
        <v>54150</v>
      </c>
      <c r="AM25" s="7"/>
      <c r="AN25" s="9" t="str">
        <f t="shared" si="13"/>
        <v/>
      </c>
      <c r="AO25" s="7"/>
      <c r="AP25" s="9" t="str">
        <f t="shared" si="13"/>
        <v/>
      </c>
      <c r="AQ25" s="7"/>
      <c r="AR25" s="9" t="str">
        <f t="shared" si="128"/>
        <v/>
      </c>
      <c r="AS25" s="7"/>
      <c r="AT25" s="9" t="str">
        <f t="shared" si="43"/>
        <v/>
      </c>
      <c r="AU25" s="7">
        <f t="shared" si="15"/>
        <v>0</v>
      </c>
    </row>
    <row r="26" spans="1:47" ht="19.5" customHeight="1">
      <c r="A26" s="8">
        <v>21</v>
      </c>
      <c r="B26" s="2" t="s">
        <v>56</v>
      </c>
      <c r="C26" s="7">
        <f>62+1531</f>
        <v>1593</v>
      </c>
      <c r="D26" s="9">
        <f t="shared" si="1"/>
        <v>41.811023622047244</v>
      </c>
      <c r="E26" s="7"/>
      <c r="F26" s="9"/>
      <c r="G26" s="7">
        <v>231</v>
      </c>
      <c r="H26" s="9">
        <f t="shared" ref="H26" si="147">IF($K26=0,"",G26/$K26*100)</f>
        <v>6.0629921259842519</v>
      </c>
      <c r="I26" s="7">
        <v>1986</v>
      </c>
      <c r="J26" s="9">
        <f t="shared" ref="J26" si="148">IF($K26=0,"",I26/$K26*100)</f>
        <v>52.125984251968504</v>
      </c>
      <c r="K26" s="7">
        <f t="shared" si="0"/>
        <v>3810</v>
      </c>
      <c r="L26" s="63">
        <f>6+1726</f>
        <v>1732</v>
      </c>
      <c r="M26" s="9">
        <f t="shared" si="4"/>
        <v>35.755573905862924</v>
      </c>
      <c r="N26" s="63">
        <v>1</v>
      </c>
      <c r="O26" s="9">
        <f t="shared" si="4"/>
        <v>2.0644095788604457E-2</v>
      </c>
      <c r="P26" s="63">
        <v>134</v>
      </c>
      <c r="Q26" s="9">
        <f t="shared" ref="Q26" si="149">IF($T26=0,"",P26/$T26*100)</f>
        <v>2.7663088356729975</v>
      </c>
      <c r="R26" s="63">
        <v>2977</v>
      </c>
      <c r="S26" s="9">
        <f t="shared" ref="S26" si="150">IF($T26=0,"",R26/$T26*100)</f>
        <v>61.457473162675477</v>
      </c>
      <c r="T26" s="63">
        <f t="shared" si="7"/>
        <v>4844</v>
      </c>
      <c r="U26" s="7">
        <f>4+2994</f>
        <v>2998</v>
      </c>
      <c r="V26" s="9">
        <f t="shared" si="8"/>
        <v>51.994450225459588</v>
      </c>
      <c r="W26" s="7">
        <v>1</v>
      </c>
      <c r="X26" s="278">
        <f t="shared" si="8"/>
        <v>1.7343045438779049E-2</v>
      </c>
      <c r="Y26" s="7">
        <v>34</v>
      </c>
      <c r="Z26" s="9">
        <f t="shared" ref="Z26" si="151">IF($AC26=0,"",Y26/$AC26*100)</f>
        <v>0.58966354491848771</v>
      </c>
      <c r="AA26" s="7">
        <v>2733</v>
      </c>
      <c r="AB26" s="9">
        <f t="shared" ref="AB26" si="152">IF($AC26=0,"",AA26/$AC26*100)</f>
        <v>47.398543184183147</v>
      </c>
      <c r="AC26" s="7">
        <f t="shared" si="29"/>
        <v>5766</v>
      </c>
      <c r="AD26" s="63">
        <f>33+7686</f>
        <v>7719</v>
      </c>
      <c r="AE26" s="9">
        <f t="shared" si="50"/>
        <v>49.046892870758676</v>
      </c>
      <c r="AF26" s="63">
        <v>5644</v>
      </c>
      <c r="AG26" s="9">
        <f t="shared" si="50"/>
        <v>35.862244249586986</v>
      </c>
      <c r="AH26" s="63">
        <v>80</v>
      </c>
      <c r="AI26" s="9">
        <f t="shared" ref="AI26" si="153">IF($AL26=0,"",AH26/$AL26*100)</f>
        <v>0.50832380226204088</v>
      </c>
      <c r="AJ26" s="63">
        <v>2295</v>
      </c>
      <c r="AK26" s="9">
        <f t="shared" ref="AK26" si="154">IF($AL26=0,"",AJ26/$AL26*100)</f>
        <v>14.582539077392298</v>
      </c>
      <c r="AL26" s="63">
        <f t="shared" ref="AL26:AL40" si="155">SUM(AD26+AF26+AH26+AJ26)</f>
        <v>15738</v>
      </c>
      <c r="AM26" s="7"/>
      <c r="AN26" s="9" t="str">
        <f t="shared" si="13"/>
        <v/>
      </c>
      <c r="AO26" s="7"/>
      <c r="AP26" s="9" t="str">
        <f t="shared" si="13"/>
        <v/>
      </c>
      <c r="AQ26" s="7"/>
      <c r="AR26" s="9" t="str">
        <f t="shared" si="128"/>
        <v/>
      </c>
      <c r="AS26" s="7"/>
      <c r="AT26" s="9" t="str">
        <f t="shared" si="43"/>
        <v/>
      </c>
      <c r="AU26" s="7">
        <f t="shared" si="15"/>
        <v>0</v>
      </c>
    </row>
    <row r="27" spans="1:47" ht="19.5" customHeight="1">
      <c r="A27" s="8">
        <v>22</v>
      </c>
      <c r="B27" s="2" t="s">
        <v>32</v>
      </c>
      <c r="C27" s="7">
        <f>90+3137</f>
        <v>3227</v>
      </c>
      <c r="D27" s="9">
        <f t="shared" si="1"/>
        <v>37.831184056271979</v>
      </c>
      <c r="E27" s="7"/>
      <c r="F27" s="9"/>
      <c r="G27" s="7"/>
      <c r="H27" s="9"/>
      <c r="I27" s="7">
        <f>0+5303</f>
        <v>5303</v>
      </c>
      <c r="J27" s="9">
        <f t="shared" ref="J27" si="156">IF($K27=0,"",I27/$K27*100)</f>
        <v>62.168815943728021</v>
      </c>
      <c r="K27" s="7">
        <f t="shared" si="0"/>
        <v>8530</v>
      </c>
      <c r="L27" s="63">
        <f>4+8128</f>
        <v>8132</v>
      </c>
      <c r="M27" s="9">
        <f t="shared" si="4"/>
        <v>51.825887451405265</v>
      </c>
      <c r="N27" s="63"/>
      <c r="O27" s="9"/>
      <c r="P27" s="63"/>
      <c r="Q27" s="9"/>
      <c r="R27" s="63">
        <f>0+7559</f>
        <v>7559</v>
      </c>
      <c r="S27" s="9">
        <f t="shared" ref="S27" si="157">IF($T27=0,"",R27/$T27*100)</f>
        <v>48.174112548594735</v>
      </c>
      <c r="T27" s="63">
        <f t="shared" si="7"/>
        <v>15691</v>
      </c>
      <c r="U27" s="7">
        <v>23736</v>
      </c>
      <c r="V27" s="9">
        <f t="shared" si="8"/>
        <v>58.866127672238477</v>
      </c>
      <c r="W27" s="7"/>
      <c r="X27" s="278"/>
      <c r="Y27" s="7">
        <v>0</v>
      </c>
      <c r="Z27" s="9">
        <f t="shared" ref="Z27" si="158">IF($AC27=0,"",Y27/$AC27*100)</f>
        <v>0</v>
      </c>
      <c r="AA27" s="7">
        <v>16586</v>
      </c>
      <c r="AB27" s="9">
        <f t="shared" ref="AB27" si="159">IF($AC27=0,"",AA27/$AC27*100)</f>
        <v>41.133872327761516</v>
      </c>
      <c r="AC27" s="7">
        <f t="shared" si="29"/>
        <v>40322</v>
      </c>
      <c r="AD27" s="63">
        <v>2229</v>
      </c>
      <c r="AE27" s="9">
        <f t="shared" si="50"/>
        <v>4.4901494702066804</v>
      </c>
      <c r="AF27" s="63">
        <v>42840</v>
      </c>
      <c r="AG27" s="9">
        <f t="shared" si="50"/>
        <v>86.297892913258934</v>
      </c>
      <c r="AH27" s="63">
        <v>0</v>
      </c>
      <c r="AI27" s="9">
        <f t="shared" ref="AI27" si="160">IF($AL27=0,"",AH27/$AL27*100)</f>
        <v>0</v>
      </c>
      <c r="AJ27" s="63">
        <v>4573</v>
      </c>
      <c r="AK27" s="9">
        <f t="shared" ref="AK27" si="161">IF($AL27=0,"",AJ27/$AL27*100)</f>
        <v>9.2119576165343862</v>
      </c>
      <c r="AL27" s="63">
        <f t="shared" si="155"/>
        <v>49642</v>
      </c>
      <c r="AM27" s="7">
        <v>7</v>
      </c>
      <c r="AN27" s="9">
        <f t="shared" si="13"/>
        <v>100</v>
      </c>
      <c r="AO27" s="7">
        <v>0</v>
      </c>
      <c r="AP27" s="9">
        <f t="shared" si="13"/>
        <v>0</v>
      </c>
      <c r="AQ27" s="7">
        <v>0</v>
      </c>
      <c r="AR27" s="9">
        <f t="shared" si="128"/>
        <v>0</v>
      </c>
      <c r="AS27" s="7"/>
      <c r="AT27" s="9">
        <f t="shared" si="43"/>
        <v>0</v>
      </c>
      <c r="AU27" s="7">
        <f t="shared" si="15"/>
        <v>7</v>
      </c>
    </row>
    <row r="28" spans="1:47" ht="19.5" customHeight="1">
      <c r="A28" s="8">
        <v>23</v>
      </c>
      <c r="B28" s="2" t="s">
        <v>33</v>
      </c>
      <c r="C28" s="7">
        <f>5+44</f>
        <v>49</v>
      </c>
      <c r="D28" s="9">
        <f t="shared" si="1"/>
        <v>80.327868852459019</v>
      </c>
      <c r="E28" s="7"/>
      <c r="F28" s="9"/>
      <c r="G28" s="7">
        <v>3</v>
      </c>
      <c r="H28" s="9">
        <f t="shared" ref="H28:H29" si="162">IF($K28=0,"",G28/$K28*100)</f>
        <v>4.918032786885246</v>
      </c>
      <c r="I28" s="7">
        <v>9</v>
      </c>
      <c r="J28" s="9">
        <f t="shared" ref="J28:J29" si="163">IF($K28=0,"",I28/$K28*100)</f>
        <v>14.754098360655737</v>
      </c>
      <c r="K28" s="7">
        <f t="shared" si="0"/>
        <v>61</v>
      </c>
      <c r="L28" s="63">
        <f>1+107</f>
        <v>108</v>
      </c>
      <c r="M28" s="9">
        <f t="shared" si="4"/>
        <v>78.832116788321173</v>
      </c>
      <c r="N28" s="63">
        <v>3</v>
      </c>
      <c r="O28" s="9">
        <f t="shared" si="4"/>
        <v>2.1897810218978102</v>
      </c>
      <c r="P28" s="63">
        <v>5</v>
      </c>
      <c r="Q28" s="9">
        <f t="shared" ref="Q28" si="164">IF($T28=0,"",P28/$T28*100)</f>
        <v>3.6496350364963499</v>
      </c>
      <c r="R28" s="63">
        <v>21</v>
      </c>
      <c r="S28" s="9">
        <f t="shared" ref="S28:S29" si="165">IF($T28=0,"",R28/$T28*100)</f>
        <v>15.328467153284672</v>
      </c>
      <c r="T28" s="63">
        <f t="shared" si="7"/>
        <v>137</v>
      </c>
      <c r="U28" s="7">
        <f>1+197</f>
        <v>198</v>
      </c>
      <c r="V28" s="9">
        <f t="shared" si="8"/>
        <v>60.550458715596335</v>
      </c>
      <c r="W28" s="7">
        <v>10</v>
      </c>
      <c r="X28" s="278">
        <f t="shared" si="8"/>
        <v>3.0581039755351682</v>
      </c>
      <c r="Y28" s="7">
        <v>19</v>
      </c>
      <c r="Z28" s="9">
        <f t="shared" ref="Z28" si="166">IF($AC28=0,"",Y28/$AC28*100)</f>
        <v>5.81039755351682</v>
      </c>
      <c r="AA28" s="7">
        <v>100</v>
      </c>
      <c r="AB28" s="9">
        <f t="shared" ref="AB28:AB31" si="167">IF($AC28=0,"",AA28/$AC28*100)</f>
        <v>30.581039755351679</v>
      </c>
      <c r="AC28" s="7">
        <f t="shared" si="29"/>
        <v>327</v>
      </c>
      <c r="AD28" s="63">
        <v>431</v>
      </c>
      <c r="AE28" s="9">
        <f t="shared" si="50"/>
        <v>62.283236994219649</v>
      </c>
      <c r="AF28" s="63">
        <v>12</v>
      </c>
      <c r="AG28" s="9">
        <f t="shared" si="50"/>
        <v>1.7341040462427744</v>
      </c>
      <c r="AH28" s="63">
        <v>36</v>
      </c>
      <c r="AI28" s="9">
        <f t="shared" ref="AI28:AI29" si="168">IF($AL28=0,"",AH28/$AL28*100)</f>
        <v>5.202312138728324</v>
      </c>
      <c r="AJ28" s="63">
        <v>213</v>
      </c>
      <c r="AK28" s="9">
        <f t="shared" ref="AK28" si="169">IF($AL28=0,"",AJ28/$AL28*100)</f>
        <v>30.78034682080925</v>
      </c>
      <c r="AL28" s="63">
        <f t="shared" si="155"/>
        <v>692</v>
      </c>
      <c r="AM28" s="7"/>
      <c r="AN28" s="9">
        <f t="shared" si="13"/>
        <v>0</v>
      </c>
      <c r="AO28" s="7"/>
      <c r="AP28" s="9">
        <f t="shared" si="13"/>
        <v>0</v>
      </c>
      <c r="AQ28" s="7">
        <v>4</v>
      </c>
      <c r="AR28" s="9">
        <v>1</v>
      </c>
      <c r="AS28" s="7">
        <v>391</v>
      </c>
      <c r="AT28" s="9">
        <v>99</v>
      </c>
      <c r="AU28" s="7">
        <v>395</v>
      </c>
    </row>
    <row r="29" spans="1:47" ht="19.5" customHeight="1">
      <c r="A29" s="8">
        <v>24</v>
      </c>
      <c r="B29" s="2" t="s">
        <v>34</v>
      </c>
      <c r="C29" s="7">
        <v>2260</v>
      </c>
      <c r="D29" s="9">
        <f t="shared" si="1"/>
        <v>61.748633879781423</v>
      </c>
      <c r="E29" s="7">
        <v>120</v>
      </c>
      <c r="F29" s="9">
        <v>3.3</v>
      </c>
      <c r="G29" s="7">
        <v>1077</v>
      </c>
      <c r="H29" s="9">
        <f t="shared" si="162"/>
        <v>29.426229508196723</v>
      </c>
      <c r="I29" s="7">
        <v>203</v>
      </c>
      <c r="J29" s="9">
        <f t="shared" si="163"/>
        <v>5.5464480874316946</v>
      </c>
      <c r="K29" s="7">
        <f t="shared" si="0"/>
        <v>3660</v>
      </c>
      <c r="L29" s="63">
        <v>2116</v>
      </c>
      <c r="M29" s="9">
        <f t="shared" si="4"/>
        <v>67.994858611825194</v>
      </c>
      <c r="N29" s="63">
        <v>119</v>
      </c>
      <c r="O29" s="9">
        <f t="shared" si="4"/>
        <v>3.8239074550128538</v>
      </c>
      <c r="P29" s="63">
        <v>629</v>
      </c>
      <c r="Q29" s="9">
        <v>20.2</v>
      </c>
      <c r="R29" s="63">
        <v>248</v>
      </c>
      <c r="S29" s="9">
        <f t="shared" si="165"/>
        <v>7.9691516709511561</v>
      </c>
      <c r="T29" s="63">
        <f t="shared" si="7"/>
        <v>3112</v>
      </c>
      <c r="U29" s="7">
        <f>1+1750</f>
        <v>1751</v>
      </c>
      <c r="V29" s="9">
        <f t="shared" si="8"/>
        <v>20.597576755675803</v>
      </c>
      <c r="W29" s="7">
        <v>5217</v>
      </c>
      <c r="X29" s="278">
        <f t="shared" si="8"/>
        <v>61.369250676391005</v>
      </c>
      <c r="Y29" s="7">
        <v>1455</v>
      </c>
      <c r="Z29" s="9">
        <f t="shared" ref="Z29:Z31" si="170">IF($AC29=0,"",Y29/$AC29*100)</f>
        <v>17.115633454887661</v>
      </c>
      <c r="AA29" s="7">
        <v>78</v>
      </c>
      <c r="AB29" s="9">
        <f t="shared" si="167"/>
        <v>0.91753911304552405</v>
      </c>
      <c r="AC29" s="7">
        <f t="shared" ref="AC29:AC31" si="171">SUM(U29+W29+Y29+AA29)</f>
        <v>8501</v>
      </c>
      <c r="AD29" s="63">
        <f>1+4898</f>
        <v>4899</v>
      </c>
      <c r="AE29" s="9">
        <f t="shared" si="50"/>
        <v>16.8582243633861</v>
      </c>
      <c r="AF29" s="63">
        <v>17236</v>
      </c>
      <c r="AG29" s="9">
        <f t="shared" si="50"/>
        <v>59.31176875430144</v>
      </c>
      <c r="AH29" s="63">
        <v>4850</v>
      </c>
      <c r="AI29" s="9">
        <f t="shared" si="168"/>
        <v>16.689607708189953</v>
      </c>
      <c r="AJ29" s="63">
        <v>2075</v>
      </c>
      <c r="AK29" s="9"/>
      <c r="AL29" s="63">
        <f t="shared" si="155"/>
        <v>29060</v>
      </c>
      <c r="AM29" s="7">
        <f>17+0</f>
        <v>17</v>
      </c>
      <c r="AN29" s="9">
        <f t="shared" si="13"/>
        <v>0.69190069190069192</v>
      </c>
      <c r="AO29" s="7">
        <v>235</v>
      </c>
      <c r="AP29" s="9">
        <f t="shared" si="13"/>
        <v>9.5645095645095637</v>
      </c>
      <c r="AQ29" s="7">
        <v>130</v>
      </c>
      <c r="AR29" s="9">
        <f t="shared" si="128"/>
        <v>5.2910052910052912</v>
      </c>
      <c r="AS29" s="7">
        <v>2075</v>
      </c>
      <c r="AT29" s="9">
        <f t="shared" ref="AT29" si="172">IF($AU29=0,"",AS29/$AU29*100)</f>
        <v>84.45258445258446</v>
      </c>
      <c r="AU29" s="7">
        <f t="shared" si="15"/>
        <v>2457</v>
      </c>
    </row>
    <row r="30" spans="1:47" ht="19.5" customHeight="1">
      <c r="A30" s="8">
        <v>25</v>
      </c>
      <c r="B30" s="2" t="s">
        <v>35</v>
      </c>
      <c r="C30" s="7">
        <f>8+302</f>
        <v>310</v>
      </c>
      <c r="D30" s="9">
        <f t="shared" si="1"/>
        <v>88.571428571428569</v>
      </c>
      <c r="E30" s="7"/>
      <c r="F30" s="9"/>
      <c r="G30" s="7">
        <v>28</v>
      </c>
      <c r="H30" s="9">
        <f t="shared" ref="H30" si="173">IF($K30=0,"",G30/$K30*100)</f>
        <v>8</v>
      </c>
      <c r="I30" s="7">
        <v>12</v>
      </c>
      <c r="J30" s="9">
        <f t="shared" ref="J30" si="174">IF($K30=0,"",I30/$K30*100)</f>
        <v>3.4285714285714288</v>
      </c>
      <c r="K30" s="7">
        <f t="shared" si="0"/>
        <v>350</v>
      </c>
      <c r="L30" s="63">
        <f>1+491</f>
        <v>492</v>
      </c>
      <c r="M30" s="9">
        <f t="shared" si="4"/>
        <v>92.307692307692307</v>
      </c>
      <c r="N30" s="63"/>
      <c r="O30" s="9"/>
      <c r="P30" s="63">
        <v>6</v>
      </c>
      <c r="Q30" s="9">
        <f t="shared" ref="Q30" si="175">IF($T30=0,"",P30/$T30*100)</f>
        <v>1.125703564727955</v>
      </c>
      <c r="R30" s="63">
        <v>35</v>
      </c>
      <c r="S30" s="9">
        <f t="shared" ref="S30" si="176">IF($T30=0,"",R30/$T30*100)</f>
        <v>6.5666041275797378</v>
      </c>
      <c r="T30" s="63">
        <f t="shared" si="7"/>
        <v>533</v>
      </c>
      <c r="U30" s="7">
        <f>2+1250</f>
        <v>1252</v>
      </c>
      <c r="V30" s="9">
        <f t="shared" si="8"/>
        <v>98.273155416012557</v>
      </c>
      <c r="W30" s="7"/>
      <c r="X30" s="278"/>
      <c r="Y30" s="7">
        <v>4</v>
      </c>
      <c r="Z30" s="9">
        <f t="shared" si="170"/>
        <v>0.31397174254317112</v>
      </c>
      <c r="AA30" s="7">
        <v>18</v>
      </c>
      <c r="AB30" s="9">
        <f t="shared" si="167"/>
        <v>1.4128728414442702</v>
      </c>
      <c r="AC30" s="7">
        <f t="shared" si="171"/>
        <v>1274</v>
      </c>
      <c r="AD30" s="63">
        <f>1+2228</f>
        <v>2229</v>
      </c>
      <c r="AE30" s="9">
        <f t="shared" si="50"/>
        <v>96.997389033942554</v>
      </c>
      <c r="AF30" s="63"/>
      <c r="AG30" s="9"/>
      <c r="AH30" s="63">
        <v>10</v>
      </c>
      <c r="AI30" s="9">
        <f t="shared" ref="AI30:AI31" si="177">IF($AL30=0,"",AH30/$AL30*100)</f>
        <v>0.4351610095735422</v>
      </c>
      <c r="AJ30" s="63">
        <v>59</v>
      </c>
      <c r="AK30" s="9">
        <f t="shared" ref="AK30:AK31" si="178">IF($AL30=0,"",AJ30/$AL30*100)</f>
        <v>2.5674499564838991</v>
      </c>
      <c r="AL30" s="63">
        <f t="shared" si="155"/>
        <v>2298</v>
      </c>
      <c r="AM30" s="7"/>
      <c r="AN30" s="9"/>
      <c r="AO30" s="7"/>
      <c r="AP30" s="9"/>
      <c r="AQ30" s="7"/>
      <c r="AR30" s="9"/>
      <c r="AS30" s="7"/>
      <c r="AT30" s="9"/>
      <c r="AU30" s="7"/>
    </row>
    <row r="31" spans="1:47" ht="19.5" customHeight="1">
      <c r="A31" s="8">
        <v>26</v>
      </c>
      <c r="B31" s="2" t="s">
        <v>36</v>
      </c>
      <c r="C31" s="7">
        <v>554</v>
      </c>
      <c r="D31" s="9">
        <f t="shared" si="1"/>
        <v>5.1587671105317066</v>
      </c>
      <c r="E31" s="7"/>
      <c r="F31" s="9"/>
      <c r="G31" s="7">
        <v>3983</v>
      </c>
      <c r="H31" s="9">
        <f t="shared" ref="H31" si="179">IF($K31=0,"",G31/$K31*100)</f>
        <v>37.089114442685542</v>
      </c>
      <c r="I31" s="7">
        <v>6202</v>
      </c>
      <c r="J31" s="9">
        <f t="shared" ref="J31" si="180">IF($K31=0,"",I31/$K31*100)</f>
        <v>57.752118446782752</v>
      </c>
      <c r="K31" s="7">
        <f t="shared" si="0"/>
        <v>10739</v>
      </c>
      <c r="L31" s="63">
        <v>412</v>
      </c>
      <c r="M31" s="9">
        <f t="shared" si="4"/>
        <v>4.7405361868599698</v>
      </c>
      <c r="N31" s="63"/>
      <c r="O31" s="9"/>
      <c r="P31" s="63">
        <v>582</v>
      </c>
      <c r="Q31" s="9">
        <f t="shared" ref="Q31" si="181">IF($T31=0,"",P31/$T31*100)</f>
        <v>6.6965826717293755</v>
      </c>
      <c r="R31" s="63">
        <v>7697</v>
      </c>
      <c r="S31" s="9">
        <f t="shared" ref="S31" si="182">IF($T31=0,"",R31/$T31*100)</f>
        <v>88.562881141410656</v>
      </c>
      <c r="T31" s="63">
        <f t="shared" si="7"/>
        <v>8691</v>
      </c>
      <c r="U31" s="7">
        <v>43562</v>
      </c>
      <c r="V31" s="9">
        <f t="shared" si="8"/>
        <v>57.019817272703477</v>
      </c>
      <c r="W31" s="7"/>
      <c r="X31" s="278"/>
      <c r="Y31" s="7">
        <v>12102</v>
      </c>
      <c r="Z31" s="9">
        <f t="shared" si="170"/>
        <v>15.840728814890442</v>
      </c>
      <c r="AA31" s="7">
        <v>20734</v>
      </c>
      <c r="AB31" s="9">
        <f t="shared" si="167"/>
        <v>27.139453912406086</v>
      </c>
      <c r="AC31" s="7">
        <f t="shared" si="171"/>
        <v>76398</v>
      </c>
      <c r="AD31" s="63">
        <f>0+106510</f>
        <v>106510</v>
      </c>
      <c r="AE31" s="9">
        <f t="shared" ref="AE31" si="183">IF($AL31=0,"",AD31/$AL31*100)</f>
        <v>68.442799401101411</v>
      </c>
      <c r="AF31" s="63"/>
      <c r="AG31" s="9"/>
      <c r="AH31" s="63">
        <v>27621</v>
      </c>
      <c r="AI31" s="9">
        <f t="shared" si="177"/>
        <v>17.749118038285815</v>
      </c>
      <c r="AJ31" s="63">
        <v>21488</v>
      </c>
      <c r="AK31" s="9">
        <f t="shared" si="178"/>
        <v>13.808082560612778</v>
      </c>
      <c r="AL31" s="63">
        <f t="shared" ref="AL31" si="184">SUM(AD31+AF31+AH31+AJ31)</f>
        <v>155619</v>
      </c>
      <c r="AM31" s="7"/>
      <c r="AN31" s="9"/>
      <c r="AO31" s="7"/>
      <c r="AP31" s="9"/>
      <c r="AQ31" s="7"/>
      <c r="AR31" s="9"/>
      <c r="AS31" s="7"/>
      <c r="AT31" s="9"/>
      <c r="AU31" s="7"/>
    </row>
    <row r="32" spans="1:47" ht="19.5" customHeight="1">
      <c r="A32" s="8">
        <v>27</v>
      </c>
      <c r="B32" s="2" t="s">
        <v>37</v>
      </c>
      <c r="C32" s="7">
        <v>1077</v>
      </c>
      <c r="D32" s="9">
        <f t="shared" si="1"/>
        <v>61.825487944890931</v>
      </c>
      <c r="E32" s="7"/>
      <c r="F32" s="9"/>
      <c r="G32" s="7">
        <v>276</v>
      </c>
      <c r="H32" s="9">
        <f t="shared" ref="H32" si="185">IF($K32=0,"",G32/$K32*100)</f>
        <v>15.843857634902411</v>
      </c>
      <c r="I32" s="7">
        <v>389</v>
      </c>
      <c r="J32" s="9">
        <f t="shared" ref="J32" si="186">IF($K32=0,"",I32/$K32*100)</f>
        <v>22.33065442020666</v>
      </c>
      <c r="K32" s="7">
        <f t="shared" si="0"/>
        <v>1742</v>
      </c>
      <c r="L32" s="63">
        <v>1002</v>
      </c>
      <c r="M32" s="9">
        <f t="shared" si="4"/>
        <v>75.909090909090907</v>
      </c>
      <c r="N32" s="63">
        <v>2</v>
      </c>
      <c r="O32" s="9">
        <f t="shared" si="4"/>
        <v>0.15151515151515152</v>
      </c>
      <c r="P32" s="63">
        <v>44</v>
      </c>
      <c r="Q32" s="9">
        <f t="shared" ref="Q32" si="187">IF($T32=0,"",P32/$T32*100)</f>
        <v>3.3333333333333335</v>
      </c>
      <c r="R32" s="63">
        <v>272</v>
      </c>
      <c r="S32" s="9">
        <f t="shared" ref="S32" si="188">IF($T32=0,"",R32/$T32*100)</f>
        <v>20.606060606060606</v>
      </c>
      <c r="T32" s="63">
        <f t="shared" si="7"/>
        <v>1320</v>
      </c>
      <c r="U32" s="7">
        <v>2957</v>
      </c>
      <c r="V32" s="9">
        <f t="shared" si="8"/>
        <v>64.129256126653658</v>
      </c>
      <c r="W32" s="7">
        <v>6</v>
      </c>
      <c r="X32" s="278">
        <f t="shared" si="8"/>
        <v>0.13012361743656475</v>
      </c>
      <c r="Y32" s="7">
        <v>218</v>
      </c>
      <c r="Z32" s="9">
        <f t="shared" ref="Z32" si="189">IF($AC32=0,"",Y32/$AC32*100)</f>
        <v>4.7278247668618523</v>
      </c>
      <c r="AA32" s="7">
        <v>1430</v>
      </c>
      <c r="AB32" s="9">
        <f t="shared" ref="AB32" si="190">IF($AC32=0,"",AA32/$AC32*100)</f>
        <v>31.012795489047928</v>
      </c>
      <c r="AC32" s="7">
        <f t="shared" si="29"/>
        <v>4611</v>
      </c>
      <c r="AD32" s="63">
        <v>12511</v>
      </c>
      <c r="AE32" s="9">
        <f t="shared" si="50"/>
        <v>81.029792746113998</v>
      </c>
      <c r="AF32" s="63">
        <v>12</v>
      </c>
      <c r="AG32" s="9">
        <f t="shared" si="50"/>
        <v>7.7720207253886009E-2</v>
      </c>
      <c r="AH32" s="63">
        <v>6</v>
      </c>
      <c r="AI32" s="9">
        <f t="shared" ref="AI32" si="191">IF($AL32=0,"",AH32/$AL32*100)</f>
        <v>3.8860103626943004E-2</v>
      </c>
      <c r="AJ32" s="63">
        <v>2911</v>
      </c>
      <c r="AK32" s="9">
        <f t="shared" ref="AK32" si="192">IF($AL32=0,"",AJ32/$AL32*100)</f>
        <v>18.853626943005182</v>
      </c>
      <c r="AL32" s="63">
        <f t="shared" si="155"/>
        <v>15440</v>
      </c>
      <c r="AM32" s="7"/>
      <c r="AN32" s="9"/>
      <c r="AO32" s="7"/>
      <c r="AP32" s="9"/>
      <c r="AQ32" s="7"/>
      <c r="AR32" s="9"/>
      <c r="AS32" s="7"/>
      <c r="AT32" s="9"/>
      <c r="AU32" s="7"/>
    </row>
    <row r="33" spans="1:47" s="255" customFormat="1" ht="19.5" customHeight="1">
      <c r="A33" s="2">
        <v>28</v>
      </c>
      <c r="B33" s="2" t="s">
        <v>57</v>
      </c>
      <c r="C33" s="7">
        <v>39</v>
      </c>
      <c r="D33" s="9">
        <f t="shared" si="1"/>
        <v>0.89841050449205251</v>
      </c>
      <c r="E33" s="7"/>
      <c r="F33" s="9"/>
      <c r="G33" s="7">
        <v>4302</v>
      </c>
      <c r="H33" s="9">
        <f t="shared" ref="H33" si="193">IF($K33=0,"",G33/$K33*100)</f>
        <v>99.101589495507952</v>
      </c>
      <c r="I33" s="7"/>
      <c r="J33" s="9"/>
      <c r="K33" s="7">
        <f t="shared" si="0"/>
        <v>4341</v>
      </c>
      <c r="L33" s="63">
        <v>2</v>
      </c>
      <c r="M33" s="9">
        <f t="shared" si="4"/>
        <v>4.4903457566232596E-2</v>
      </c>
      <c r="N33" s="63"/>
      <c r="O33" s="9"/>
      <c r="P33" s="63">
        <v>4452</v>
      </c>
      <c r="Q33" s="9">
        <f t="shared" ref="Q33" si="194">IF($T33=0,"",P33/$T33*100)</f>
        <v>99.955096542433765</v>
      </c>
      <c r="R33" s="63"/>
      <c r="S33" s="9"/>
      <c r="T33" s="63">
        <f t="shared" si="7"/>
        <v>4454</v>
      </c>
      <c r="U33" s="7">
        <v>1</v>
      </c>
      <c r="V33" s="9">
        <f t="shared" si="8"/>
        <v>3.812428516965307E-2</v>
      </c>
      <c r="W33" s="7"/>
      <c r="X33" s="278"/>
      <c r="Y33" s="7">
        <v>2622</v>
      </c>
      <c r="Z33" s="9">
        <f t="shared" ref="Z33" si="195">IF($AC33=0,"",Y33/$AC33*100)</f>
        <v>99.961875714830356</v>
      </c>
      <c r="AA33" s="7"/>
      <c r="AB33" s="9"/>
      <c r="AC33" s="7">
        <f t="shared" si="29"/>
        <v>2623</v>
      </c>
      <c r="AD33" s="63"/>
      <c r="AE33" s="9"/>
      <c r="AF33" s="63">
        <v>49908</v>
      </c>
      <c r="AG33" s="9">
        <f t="shared" si="50"/>
        <v>100</v>
      </c>
      <c r="AH33" s="63"/>
      <c r="AI33" s="9"/>
      <c r="AJ33" s="63"/>
      <c r="AK33" s="9"/>
      <c r="AL33" s="63">
        <f t="shared" si="155"/>
        <v>49908</v>
      </c>
      <c r="AM33" s="7"/>
      <c r="AN33" s="9" t="str">
        <f t="shared" si="13"/>
        <v/>
      </c>
      <c r="AO33" s="7"/>
      <c r="AP33" s="9" t="str">
        <f t="shared" si="13"/>
        <v/>
      </c>
      <c r="AQ33" s="7"/>
      <c r="AR33" s="9" t="str">
        <f t="shared" ref="AR33" si="196">IF($AU33=0,"",AQ33/$AU33*100)</f>
        <v/>
      </c>
      <c r="AS33" s="7"/>
      <c r="AT33" s="9" t="str">
        <f t="shared" ref="AT33" si="197">IF($AU33=0,"",AS33/$AU33*100)</f>
        <v/>
      </c>
      <c r="AU33" s="7"/>
    </row>
    <row r="34" spans="1:47" ht="19.5" customHeight="1">
      <c r="A34" s="8">
        <v>29</v>
      </c>
      <c r="B34" s="2" t="s">
        <v>39</v>
      </c>
      <c r="C34" s="7">
        <f>3+44</f>
        <v>47</v>
      </c>
      <c r="D34" s="9">
        <f t="shared" si="1"/>
        <v>83.928571428571431</v>
      </c>
      <c r="E34" s="7">
        <v>1</v>
      </c>
      <c r="F34" s="9">
        <f t="shared" si="1"/>
        <v>1.7857142857142856</v>
      </c>
      <c r="G34" s="7">
        <v>2</v>
      </c>
      <c r="H34" s="9">
        <f t="shared" ref="H34" si="198">IF($K34=0,"",G34/$K34*100)</f>
        <v>3.5714285714285712</v>
      </c>
      <c r="I34" s="7">
        <v>6</v>
      </c>
      <c r="J34" s="9">
        <f t="shared" ref="J34" si="199">IF($K34=0,"",I34/$K34*100)</f>
        <v>10.714285714285714</v>
      </c>
      <c r="K34" s="7">
        <f t="shared" si="0"/>
        <v>56</v>
      </c>
      <c r="L34" s="63">
        <f>1+40</f>
        <v>41</v>
      </c>
      <c r="M34" s="9">
        <f t="shared" si="4"/>
        <v>91.111111111111114</v>
      </c>
      <c r="N34" s="63"/>
      <c r="O34" s="9"/>
      <c r="P34" s="63"/>
      <c r="Q34" s="9"/>
      <c r="R34" s="63">
        <v>4</v>
      </c>
      <c r="S34" s="9">
        <f t="shared" ref="S34" si="200">IF($T34=0,"",R34/$T34*100)</f>
        <v>8.8888888888888893</v>
      </c>
      <c r="T34" s="63">
        <f t="shared" si="7"/>
        <v>45</v>
      </c>
      <c r="U34" s="7">
        <v>60</v>
      </c>
      <c r="V34" s="9">
        <f t="shared" si="8"/>
        <v>78.94736842105263</v>
      </c>
      <c r="W34" s="7">
        <v>4</v>
      </c>
      <c r="X34" s="278">
        <f t="shared" si="8"/>
        <v>5.2631578947368416</v>
      </c>
      <c r="Y34" s="7"/>
      <c r="Z34" s="9"/>
      <c r="AA34" s="7">
        <v>12</v>
      </c>
      <c r="AB34" s="9">
        <f t="shared" ref="AB34" si="201">IF($AC34=0,"",AA34/$AC34*100)</f>
        <v>15.789473684210526</v>
      </c>
      <c r="AC34" s="7">
        <f t="shared" si="29"/>
        <v>76</v>
      </c>
      <c r="AD34" s="63">
        <v>169</v>
      </c>
      <c r="AE34" s="9">
        <f t="shared" si="50"/>
        <v>77.880184331797224</v>
      </c>
      <c r="AF34" s="63">
        <v>5</v>
      </c>
      <c r="AG34" s="9">
        <f t="shared" si="50"/>
        <v>2.3041474654377883</v>
      </c>
      <c r="AH34" s="63"/>
      <c r="AI34" s="9"/>
      <c r="AJ34" s="63">
        <v>43</v>
      </c>
      <c r="AK34" s="9">
        <f t="shared" ref="AK34" si="202">IF($AL34=0,"",AJ34/$AL34*100)</f>
        <v>19.815668202764979</v>
      </c>
      <c r="AL34" s="63">
        <f t="shared" si="155"/>
        <v>217</v>
      </c>
      <c r="AM34" s="7"/>
      <c r="AN34" s="9"/>
      <c r="AO34" s="7">
        <v>3</v>
      </c>
      <c r="AP34" s="9">
        <f t="shared" si="13"/>
        <v>8.8235294117647065</v>
      </c>
      <c r="AQ34" s="7"/>
      <c r="AR34" s="9"/>
      <c r="AS34" s="7">
        <v>31</v>
      </c>
      <c r="AT34" s="9">
        <f t="shared" ref="AT34" si="203">IF($AU34=0,"",AS34/$AU34*100)</f>
        <v>91.17647058823529</v>
      </c>
      <c r="AU34" s="7">
        <f t="shared" si="15"/>
        <v>34</v>
      </c>
    </row>
    <row r="35" spans="1:47" ht="19.5" customHeight="1">
      <c r="A35" s="8">
        <v>30</v>
      </c>
      <c r="B35" s="2" t="s">
        <v>40</v>
      </c>
      <c r="C35" s="7">
        <f>6+36</f>
        <v>42</v>
      </c>
      <c r="D35" s="9">
        <f t="shared" si="1"/>
        <v>51.851851851851848</v>
      </c>
      <c r="E35" s="7"/>
      <c r="F35" s="9"/>
      <c r="G35" s="7">
        <v>6</v>
      </c>
      <c r="H35" s="9">
        <f t="shared" ref="H35" si="204">IF($K35=0,"",G35/$K35*100)</f>
        <v>7.4074074074074066</v>
      </c>
      <c r="I35" s="7">
        <v>33</v>
      </c>
      <c r="J35" s="9">
        <f t="shared" ref="J35" si="205">IF($K35=0,"",I35/$K35*100)</f>
        <v>40.74074074074074</v>
      </c>
      <c r="K35" s="7">
        <f t="shared" si="0"/>
        <v>81</v>
      </c>
      <c r="L35" s="63">
        <f>1+45</f>
        <v>46</v>
      </c>
      <c r="M35" s="9">
        <f t="shared" si="4"/>
        <v>73.015873015873012</v>
      </c>
      <c r="N35" s="63"/>
      <c r="O35" s="9"/>
      <c r="P35" s="63">
        <v>1</v>
      </c>
      <c r="Q35" s="9">
        <f t="shared" ref="Q35" si="206">IF($T35=0,"",P35/$T35*100)</f>
        <v>1.5873015873015872</v>
      </c>
      <c r="R35" s="63">
        <v>16</v>
      </c>
      <c r="S35" s="9">
        <f t="shared" ref="S35" si="207">IF($T35=0,"",R35/$T35*100)</f>
        <v>25.396825396825395</v>
      </c>
      <c r="T35" s="63">
        <f t="shared" si="7"/>
        <v>63</v>
      </c>
      <c r="U35" s="7">
        <v>14</v>
      </c>
      <c r="V35" s="9">
        <f t="shared" si="8"/>
        <v>48.275862068965516</v>
      </c>
      <c r="W35" s="7"/>
      <c r="X35" s="278"/>
      <c r="Y35" s="7"/>
      <c r="Z35" s="9"/>
      <c r="AA35" s="7">
        <v>15</v>
      </c>
      <c r="AB35" s="9">
        <f t="shared" ref="AB35" si="208">IF($AC35=0,"",AA35/$AC35*100)</f>
        <v>51.724137931034484</v>
      </c>
      <c r="AC35" s="7">
        <f t="shared" si="29"/>
        <v>29</v>
      </c>
      <c r="AD35" s="63">
        <v>9</v>
      </c>
      <c r="AE35" s="9">
        <f t="shared" si="50"/>
        <v>64.285714285714292</v>
      </c>
      <c r="AF35" s="63"/>
      <c r="AG35" s="9"/>
      <c r="AH35" s="63"/>
      <c r="AI35" s="9"/>
      <c r="AJ35" s="63">
        <v>5</v>
      </c>
      <c r="AK35" s="9">
        <f t="shared" ref="AK35" si="209">IF($AL35=0,"",AJ35/$AL35*100)</f>
        <v>35.714285714285715</v>
      </c>
      <c r="AL35" s="63">
        <f t="shared" si="155"/>
        <v>14</v>
      </c>
      <c r="AM35" s="7">
        <v>1</v>
      </c>
      <c r="AN35" s="9">
        <f t="shared" si="13"/>
        <v>100</v>
      </c>
      <c r="AO35" s="7"/>
      <c r="AP35" s="9"/>
      <c r="AQ35" s="7"/>
      <c r="AR35" s="9"/>
      <c r="AS35" s="7"/>
      <c r="AT35" s="9"/>
      <c r="AU35" s="7">
        <f t="shared" si="15"/>
        <v>1</v>
      </c>
    </row>
    <row r="36" spans="1:47" ht="19.5" customHeight="1">
      <c r="A36" s="8">
        <v>31</v>
      </c>
      <c r="B36" s="2" t="s">
        <v>41</v>
      </c>
      <c r="C36" s="7">
        <f>1+10</f>
        <v>11</v>
      </c>
      <c r="D36" s="9">
        <f t="shared" si="1"/>
        <v>78.571428571428569</v>
      </c>
      <c r="E36" s="7"/>
      <c r="F36" s="9"/>
      <c r="G36" s="7"/>
      <c r="H36" s="9"/>
      <c r="I36" s="7">
        <v>3</v>
      </c>
      <c r="J36" s="9">
        <f t="shared" ref="J36" si="210">IF($K36=0,"",I36/$K36*100)</f>
        <v>21.428571428571427</v>
      </c>
      <c r="K36" s="7">
        <f t="shared" si="0"/>
        <v>14</v>
      </c>
      <c r="L36" s="63">
        <f>1+12</f>
        <v>13</v>
      </c>
      <c r="M36" s="9">
        <f t="shared" si="4"/>
        <v>68.421052631578945</v>
      </c>
      <c r="N36" s="63"/>
      <c r="O36" s="9"/>
      <c r="P36" s="63"/>
      <c r="Q36" s="9"/>
      <c r="R36" s="63">
        <v>6</v>
      </c>
      <c r="S36" s="9">
        <f t="shared" ref="S36" si="211">IF($T36=0,"",R36/$T36*100)</f>
        <v>31.578947368421051</v>
      </c>
      <c r="T36" s="63">
        <f t="shared" si="7"/>
        <v>19</v>
      </c>
      <c r="U36" s="7">
        <f>1+83</f>
        <v>84</v>
      </c>
      <c r="V36" s="9">
        <f t="shared" si="8"/>
        <v>84.848484848484844</v>
      </c>
      <c r="W36" s="7">
        <v>1</v>
      </c>
      <c r="X36" s="278">
        <f t="shared" si="8"/>
        <v>1.0101010101010102</v>
      </c>
      <c r="Y36" s="7">
        <v>4</v>
      </c>
      <c r="Z36" s="9">
        <f t="shared" ref="Z36" si="212">IF($AC36=0,"",Y36/$AC36*100)</f>
        <v>4.0404040404040407</v>
      </c>
      <c r="AA36" s="7">
        <v>10</v>
      </c>
      <c r="AB36" s="9">
        <f t="shared" ref="AB36" si="213">IF($AC36=0,"",AA36/$AC36*100)</f>
        <v>10.1010101010101</v>
      </c>
      <c r="AC36" s="7">
        <f t="shared" si="29"/>
        <v>99</v>
      </c>
      <c r="AD36" s="63">
        <v>188</v>
      </c>
      <c r="AE36" s="9">
        <f t="shared" si="50"/>
        <v>93.069306930693074</v>
      </c>
      <c r="AF36" s="63"/>
      <c r="AG36" s="9"/>
      <c r="AH36" s="63">
        <v>8</v>
      </c>
      <c r="AI36" s="9">
        <f t="shared" ref="AI36" si="214">IF($AL36=0,"",AH36/$AL36*100)</f>
        <v>3.9603960396039604</v>
      </c>
      <c r="AJ36" s="63">
        <v>6</v>
      </c>
      <c r="AK36" s="9">
        <f t="shared" ref="AK36" si="215">IF($AL36=0,"",AJ36/$AL36*100)</f>
        <v>2.9702970297029703</v>
      </c>
      <c r="AL36" s="63">
        <f t="shared" si="155"/>
        <v>202</v>
      </c>
      <c r="AM36" s="7"/>
      <c r="AN36" s="9"/>
      <c r="AO36" s="7"/>
      <c r="AP36" s="9"/>
      <c r="AQ36" s="7"/>
      <c r="AR36" s="9"/>
      <c r="AS36" s="7"/>
      <c r="AT36" s="9"/>
      <c r="AU36" s="7"/>
    </row>
    <row r="37" spans="1:47" ht="19.5" customHeight="1">
      <c r="A37" s="8">
        <v>32</v>
      </c>
      <c r="B37" s="2" t="s">
        <v>42</v>
      </c>
      <c r="C37" s="7">
        <f>1+12</f>
        <v>13</v>
      </c>
      <c r="D37" s="9">
        <f t="shared" si="1"/>
        <v>72.222222222222214</v>
      </c>
      <c r="E37" s="7"/>
      <c r="F37" s="9"/>
      <c r="G37" s="7">
        <f>0+2</f>
        <v>2</v>
      </c>
      <c r="H37" s="9">
        <f t="shared" ref="H37" si="216">IF($K37=0,"",G37/$K37*100)</f>
        <v>11.111111111111111</v>
      </c>
      <c r="I37" s="7">
        <f>0+3</f>
        <v>3</v>
      </c>
      <c r="J37" s="9">
        <f t="shared" ref="J37" si="217">IF($K37=0,"",I37/$K37*100)</f>
        <v>16.666666666666664</v>
      </c>
      <c r="K37" s="7">
        <f t="shared" si="0"/>
        <v>18</v>
      </c>
      <c r="L37" s="63">
        <f>2+9</f>
        <v>11</v>
      </c>
      <c r="M37" s="9">
        <f t="shared" si="4"/>
        <v>61.111111111111114</v>
      </c>
      <c r="N37" s="63"/>
      <c r="O37" s="9"/>
      <c r="P37" s="63">
        <f>3+0</f>
        <v>3</v>
      </c>
      <c r="Q37" s="9">
        <f>1+0</f>
        <v>1</v>
      </c>
      <c r="R37" s="63">
        <f>4+0</f>
        <v>4</v>
      </c>
      <c r="S37" s="9">
        <f t="shared" ref="S37" si="218">IF($T37=0,"",R37/$T37*100)</f>
        <v>22.222222222222221</v>
      </c>
      <c r="T37" s="63">
        <f t="shared" si="7"/>
        <v>18</v>
      </c>
      <c r="U37" s="7">
        <f>1+38</f>
        <v>39</v>
      </c>
      <c r="V37" s="9">
        <f t="shared" si="8"/>
        <v>75</v>
      </c>
      <c r="W37" s="7"/>
      <c r="X37" s="278"/>
      <c r="Y37" s="7">
        <f>4+0</f>
        <v>4</v>
      </c>
      <c r="Z37" s="9">
        <f t="shared" ref="Z37" si="219">IF($AC37=0,"",Y37/$AC37*100)</f>
        <v>7.6923076923076925</v>
      </c>
      <c r="AA37" s="7">
        <f>9+0</f>
        <v>9</v>
      </c>
      <c r="AB37" s="9">
        <f t="shared" ref="AB37" si="220">IF($AC37=0,"",AA37/$AC37*100)</f>
        <v>17.307692307692307</v>
      </c>
      <c r="AC37" s="7">
        <f t="shared" si="29"/>
        <v>52</v>
      </c>
      <c r="AD37" s="63">
        <f>0+50</f>
        <v>50</v>
      </c>
      <c r="AE37" s="9">
        <f t="shared" si="50"/>
        <v>83.333333333333343</v>
      </c>
      <c r="AF37" s="63"/>
      <c r="AG37" s="9"/>
      <c r="AH37" s="63">
        <f>1+0</f>
        <v>1</v>
      </c>
      <c r="AI37" s="9">
        <f t="shared" ref="AI37" si="221">IF($AL37=0,"",AH37/$AL37*100)</f>
        <v>1.6666666666666667</v>
      </c>
      <c r="AJ37" s="63">
        <f>9+0</f>
        <v>9</v>
      </c>
      <c r="AK37" s="9">
        <f t="shared" ref="AK37" si="222">IF($AL37=0,"",AJ37/$AL37*100)</f>
        <v>15</v>
      </c>
      <c r="AL37" s="63">
        <f t="shared" si="155"/>
        <v>60</v>
      </c>
      <c r="AM37" s="7">
        <f>0+14</f>
        <v>14</v>
      </c>
      <c r="AN37" s="9">
        <f t="shared" si="13"/>
        <v>43.75</v>
      </c>
      <c r="AO37" s="7"/>
      <c r="AP37" s="9"/>
      <c r="AQ37" s="7">
        <f>3+0</f>
        <v>3</v>
      </c>
      <c r="AR37" s="9">
        <f t="shared" ref="AR37" si="223">IF($AU37=0,"",AQ37/$AU37*100)</f>
        <v>9.375</v>
      </c>
      <c r="AS37" s="7">
        <f>15+0</f>
        <v>15</v>
      </c>
      <c r="AT37" s="9">
        <f t="shared" ref="AT37" si="224">IF($AU37=0,"",AS37/$AU37*100)</f>
        <v>46.875</v>
      </c>
      <c r="AU37" s="7">
        <f t="shared" si="15"/>
        <v>32</v>
      </c>
    </row>
    <row r="38" spans="1:47" ht="19.5" customHeight="1">
      <c r="A38" s="8">
        <v>33</v>
      </c>
      <c r="B38" s="2" t="s">
        <v>43</v>
      </c>
      <c r="C38" s="7">
        <v>782</v>
      </c>
      <c r="D38" s="9">
        <f t="shared" si="1"/>
        <v>54.800280308339175</v>
      </c>
      <c r="E38" s="7">
        <f>0+13</f>
        <v>13</v>
      </c>
      <c r="F38" s="9">
        <f t="shared" si="1"/>
        <v>0.91100210231254386</v>
      </c>
      <c r="G38" s="7">
        <f>0+161</f>
        <v>161</v>
      </c>
      <c r="H38" s="9">
        <f t="shared" ref="H38" si="225">IF($K38=0,"",G38/$K38*100)</f>
        <v>11.282410651716889</v>
      </c>
      <c r="I38" s="7">
        <f>0+471</f>
        <v>471</v>
      </c>
      <c r="J38" s="9">
        <f t="shared" ref="J38" si="226">IF($K38=0,"",I38/$K38*100)</f>
        <v>33.006306937631393</v>
      </c>
      <c r="K38" s="7">
        <f t="shared" si="0"/>
        <v>1427</v>
      </c>
      <c r="L38" s="63">
        <f>0+181</f>
        <v>181</v>
      </c>
      <c r="M38" s="9">
        <f t="shared" si="4"/>
        <v>39.262472885032537</v>
      </c>
      <c r="N38" s="63">
        <f>0+10</f>
        <v>10</v>
      </c>
      <c r="O38" s="9">
        <f t="shared" si="4"/>
        <v>2.1691973969631237</v>
      </c>
      <c r="P38" s="63">
        <f>0+26</f>
        <v>26</v>
      </c>
      <c r="Q38" s="9">
        <f t="shared" ref="Q38" si="227">IF($T38=0,"",P38/$T38*100)</f>
        <v>5.6399132321041208</v>
      </c>
      <c r="R38" s="63">
        <f>0+244</f>
        <v>244</v>
      </c>
      <c r="S38" s="9">
        <f t="shared" ref="S38" si="228">IF($T38=0,"",R38/$T38*100)</f>
        <v>52.928416485900222</v>
      </c>
      <c r="T38" s="63">
        <f t="shared" si="7"/>
        <v>461</v>
      </c>
      <c r="U38" s="7">
        <f>0+24</f>
        <v>24</v>
      </c>
      <c r="V38" s="9">
        <f t="shared" si="8"/>
        <v>4.0133779264214047</v>
      </c>
      <c r="W38" s="7">
        <f>0+11</f>
        <v>11</v>
      </c>
      <c r="X38" s="278">
        <f t="shared" si="8"/>
        <v>1.8394648829431439</v>
      </c>
      <c r="Y38" s="7">
        <f>0+24</f>
        <v>24</v>
      </c>
      <c r="Z38" s="9">
        <f t="shared" ref="Z38" si="229">IF($AC38=0,"",Y38/$AC38*100)</f>
        <v>4.0133779264214047</v>
      </c>
      <c r="AA38" s="7">
        <f>0+539</f>
        <v>539</v>
      </c>
      <c r="AB38" s="9">
        <f t="shared" ref="AB38" si="230">IF($AC38=0,"",AA38/$AC38*100)</f>
        <v>90.133779264214041</v>
      </c>
      <c r="AC38" s="7">
        <f t="shared" si="29"/>
        <v>598</v>
      </c>
      <c r="AD38" s="63"/>
      <c r="AE38" s="9"/>
      <c r="AF38" s="63">
        <f>0+1757</f>
        <v>1757</v>
      </c>
      <c r="AG38" s="9">
        <f t="shared" si="50"/>
        <v>68.07438977140643</v>
      </c>
      <c r="AH38" s="63">
        <f>0+48</f>
        <v>48</v>
      </c>
      <c r="AI38" s="9">
        <f t="shared" ref="AI38" si="231">IF($AL38=0,"",AH38/$AL38*100)</f>
        <v>1.8597442851607904</v>
      </c>
      <c r="AJ38" s="63">
        <f>0+776</f>
        <v>776</v>
      </c>
      <c r="AK38" s="9">
        <f t="shared" ref="AK38" si="232">IF($AL38=0,"",AJ38/$AL38*100)</f>
        <v>30.06586594343278</v>
      </c>
      <c r="AL38" s="63">
        <f t="shared" si="155"/>
        <v>2581</v>
      </c>
      <c r="AM38" s="7"/>
      <c r="AN38" s="9"/>
      <c r="AO38" s="7">
        <f>0+51</f>
        <v>51</v>
      </c>
      <c r="AP38" s="9">
        <f t="shared" si="13"/>
        <v>100</v>
      </c>
      <c r="AQ38" s="7"/>
      <c r="AR38" s="9"/>
      <c r="AS38" s="7"/>
      <c r="AT38" s="9"/>
      <c r="AU38" s="7">
        <f t="shared" si="15"/>
        <v>51</v>
      </c>
    </row>
    <row r="39" spans="1:47" ht="19.5" customHeight="1">
      <c r="A39" s="8">
        <v>34</v>
      </c>
      <c r="B39" s="2" t="s">
        <v>58</v>
      </c>
      <c r="C39" s="7">
        <f>1+9</f>
        <v>10</v>
      </c>
      <c r="D39" s="9">
        <f t="shared" si="1"/>
        <v>100</v>
      </c>
      <c r="E39" s="7"/>
      <c r="F39" s="9"/>
      <c r="G39" s="7"/>
      <c r="H39" s="9"/>
      <c r="I39" s="7"/>
      <c r="J39" s="9"/>
      <c r="K39" s="7">
        <f t="shared" si="0"/>
        <v>10</v>
      </c>
      <c r="L39" s="63">
        <f>1+1</f>
        <v>2</v>
      </c>
      <c r="M39" s="9">
        <f t="shared" si="4"/>
        <v>100</v>
      </c>
      <c r="N39" s="63"/>
      <c r="O39" s="9"/>
      <c r="P39" s="63"/>
      <c r="Q39" s="9"/>
      <c r="R39" s="63"/>
      <c r="S39" s="9"/>
      <c r="T39" s="63">
        <f t="shared" si="7"/>
        <v>2</v>
      </c>
      <c r="U39" s="7">
        <f>0+8</f>
        <v>8</v>
      </c>
      <c r="V39" s="9">
        <f t="shared" si="8"/>
        <v>100</v>
      </c>
      <c r="W39" s="7"/>
      <c r="X39" s="278"/>
      <c r="Y39" s="7"/>
      <c r="Z39" s="9"/>
      <c r="AA39" s="7"/>
      <c r="AB39" s="9"/>
      <c r="AC39" s="7">
        <f t="shared" si="29"/>
        <v>8</v>
      </c>
      <c r="AD39" s="63">
        <f>0+23</f>
        <v>23</v>
      </c>
      <c r="AE39" s="9">
        <f t="shared" si="50"/>
        <v>100</v>
      </c>
      <c r="AF39" s="63"/>
      <c r="AG39" s="9"/>
      <c r="AH39" s="63"/>
      <c r="AI39" s="9"/>
      <c r="AJ39" s="63"/>
      <c r="AK39" s="9"/>
      <c r="AL39" s="63">
        <f t="shared" si="155"/>
        <v>23</v>
      </c>
      <c r="AM39" s="7">
        <f>0+19</f>
        <v>19</v>
      </c>
      <c r="AN39" s="9">
        <f t="shared" si="13"/>
        <v>100</v>
      </c>
      <c r="AO39" s="7"/>
      <c r="AP39" s="9"/>
      <c r="AQ39" s="7"/>
      <c r="AR39" s="9"/>
      <c r="AS39" s="7"/>
      <c r="AT39" s="9"/>
      <c r="AU39" s="7">
        <f>SUM(AM39+AO39+AQ39+AS39)</f>
        <v>19</v>
      </c>
    </row>
    <row r="40" spans="1:47" ht="19.5" customHeight="1">
      <c r="A40" s="8">
        <v>35</v>
      </c>
      <c r="B40" s="2" t="s">
        <v>45</v>
      </c>
      <c r="C40" s="7">
        <f>4+57</f>
        <v>61</v>
      </c>
      <c r="D40" s="9">
        <f t="shared" si="1"/>
        <v>50.413223140495866</v>
      </c>
      <c r="E40" s="7"/>
      <c r="F40" s="9"/>
      <c r="G40" s="7">
        <f>0+10</f>
        <v>10</v>
      </c>
      <c r="H40" s="9">
        <f t="shared" ref="H40" si="233">IF($K40=0,"",G40/$K40*100)</f>
        <v>8.2644628099173563</v>
      </c>
      <c r="I40" s="7">
        <f>50+0</f>
        <v>50</v>
      </c>
      <c r="J40" s="9">
        <f t="shared" ref="J40" si="234">IF($K40=0,"",I40/$K40*100)</f>
        <v>41.32231404958678</v>
      </c>
      <c r="K40" s="7">
        <f t="shared" si="0"/>
        <v>121</v>
      </c>
      <c r="L40" s="63">
        <f>1+73</f>
        <v>74</v>
      </c>
      <c r="M40" s="9">
        <f t="shared" si="4"/>
        <v>37.948717948717949</v>
      </c>
      <c r="N40" s="63">
        <f>1+0</f>
        <v>1</v>
      </c>
      <c r="O40" s="9">
        <f t="shared" si="4"/>
        <v>0.51282051282051277</v>
      </c>
      <c r="P40" s="63">
        <f>20+0</f>
        <v>20</v>
      </c>
      <c r="Q40" s="9">
        <f t="shared" ref="Q40" si="235">IF($T40=0,"",P40/$T40*100)</f>
        <v>10.256410256410255</v>
      </c>
      <c r="R40" s="63">
        <f>100+0</f>
        <v>100</v>
      </c>
      <c r="S40" s="9">
        <f t="shared" ref="S40" si="236">IF($T40=0,"",R40/$T40*100)</f>
        <v>51.282051282051277</v>
      </c>
      <c r="T40" s="63">
        <f t="shared" si="7"/>
        <v>195</v>
      </c>
      <c r="U40" s="7">
        <f>1+52</f>
        <v>53</v>
      </c>
      <c r="V40" s="9">
        <f t="shared" si="8"/>
        <v>55.78947368421052</v>
      </c>
      <c r="W40" s="7"/>
      <c r="X40" s="278"/>
      <c r="Y40" s="7">
        <f>1+0</f>
        <v>1</v>
      </c>
      <c r="Z40" s="9">
        <f t="shared" ref="Z40" si="237">IF($AC40=0,"",Y40/$AC40*100)</f>
        <v>1.0526315789473684</v>
      </c>
      <c r="AA40" s="7">
        <f>41+0</f>
        <v>41</v>
      </c>
      <c r="AB40" s="9">
        <f t="shared" ref="AB40" si="238">IF($AC40=0,"",AA40/$AC40*100)</f>
        <v>43.15789473684211</v>
      </c>
      <c r="AC40" s="7">
        <f t="shared" si="29"/>
        <v>95</v>
      </c>
      <c r="AD40" s="63">
        <f>1+249</f>
        <v>250</v>
      </c>
      <c r="AE40" s="9">
        <f t="shared" si="50"/>
        <v>82.508250825082513</v>
      </c>
      <c r="AF40" s="63">
        <f>1+0</f>
        <v>1</v>
      </c>
      <c r="AG40" s="9">
        <f t="shared" si="50"/>
        <v>0.33003300330033003</v>
      </c>
      <c r="AH40" s="63">
        <f>3+0</f>
        <v>3</v>
      </c>
      <c r="AI40" s="9">
        <f t="shared" ref="AI40" si="239">IF($AL40=0,"",AH40/$AL40*100)</f>
        <v>0.99009900990099009</v>
      </c>
      <c r="AJ40" s="63">
        <f>49+0</f>
        <v>49</v>
      </c>
      <c r="AK40" s="9">
        <f t="shared" ref="AK40" si="240">IF($AL40=0,"",AJ40/$AL40*100)</f>
        <v>16.171617161716171</v>
      </c>
      <c r="AL40" s="63">
        <f t="shared" si="155"/>
        <v>303</v>
      </c>
      <c r="AM40" s="7">
        <f>0+296</f>
        <v>296</v>
      </c>
      <c r="AN40" s="9">
        <f t="shared" si="13"/>
        <v>53.81818181818182</v>
      </c>
      <c r="AO40" s="7"/>
      <c r="AP40" s="9"/>
      <c r="AQ40" s="7">
        <f>25+0</f>
        <v>25</v>
      </c>
      <c r="AR40" s="9">
        <f t="shared" ref="AR40" si="241">IF($AU40=0,"",AQ40/$AU40*100)</f>
        <v>4.5454545454545459</v>
      </c>
      <c r="AS40" s="7">
        <f>229+0</f>
        <v>229</v>
      </c>
      <c r="AT40" s="9">
        <f t="shared" ref="AT40" si="242">IF($AU40=0,"",AS40/$AU40*100)</f>
        <v>41.63636363636364</v>
      </c>
      <c r="AU40" s="7">
        <f t="shared" si="15"/>
        <v>550</v>
      </c>
    </row>
    <row r="41" spans="1:47" s="91" customFormat="1" ht="19.5" customHeight="1">
      <c r="A41" s="282" t="s">
        <v>46</v>
      </c>
      <c r="B41" s="282"/>
      <c r="C41" s="90">
        <f>SUM(C6:C40)</f>
        <v>27497</v>
      </c>
      <c r="D41" s="92">
        <f t="shared" si="1"/>
        <v>32.202040075419553</v>
      </c>
      <c r="E41" s="90">
        <f>SUM(E6:E40)</f>
        <v>711</v>
      </c>
      <c r="F41" s="92">
        <f t="shared" si="1"/>
        <v>0.83265994448933711</v>
      </c>
      <c r="G41" s="90">
        <f>SUM(G6:G40)</f>
        <v>21381</v>
      </c>
      <c r="H41" s="92">
        <f t="shared" ref="H41" si="243">IF($K41=0,"",G41/$K41*100)</f>
        <v>25.039524997365</v>
      </c>
      <c r="I41" s="90">
        <f>SUM(I6:I40)</f>
        <v>33426</v>
      </c>
      <c r="J41" s="92">
        <f t="shared" ref="J41" si="244">IF($K41=0,"",I41/$K41*100)</f>
        <v>39.145557390296176</v>
      </c>
      <c r="K41" s="90">
        <f>SUM(K6:K40)</f>
        <v>85389</v>
      </c>
      <c r="L41" s="90">
        <f>SUM(L6:L40)</f>
        <v>40584</v>
      </c>
      <c r="M41" s="92">
        <f t="shared" si="4"/>
        <v>31.626935575626746</v>
      </c>
      <c r="N41" s="90">
        <f>SUM(N6:N40)</f>
        <v>9827</v>
      </c>
      <c r="O41" s="92">
        <f t="shared" si="4"/>
        <v>7.6581385743564958</v>
      </c>
      <c r="P41" s="90">
        <f>SUM(P6:P40)</f>
        <v>27035</v>
      </c>
      <c r="Q41" s="92">
        <f t="shared" ref="Q41" si="245">IF($T41=0,"",P41/$T41*100)</f>
        <v>21.068258507960504</v>
      </c>
      <c r="R41" s="90">
        <f>SUM(R6:R40)</f>
        <v>46650</v>
      </c>
      <c r="S41" s="92">
        <f t="shared" ref="S41" si="246">IF($T41=0,"",R41/$T41*100)</f>
        <v>36.354143125443223</v>
      </c>
      <c r="T41" s="281">
        <f>SUM(T6:T40)</f>
        <v>128321</v>
      </c>
      <c r="U41" s="90">
        <f>SUM(U6:U40)</f>
        <v>266887</v>
      </c>
      <c r="V41" s="92">
        <f t="shared" si="8"/>
        <v>55.745933210236529</v>
      </c>
      <c r="W41" s="90">
        <f>SUM(W6:W40)</f>
        <v>69015</v>
      </c>
      <c r="X41" s="92">
        <f t="shared" si="8"/>
        <v>14.415485132301214</v>
      </c>
      <c r="Y41" s="90">
        <f>SUM(Y6:Y40)</f>
        <v>44886</v>
      </c>
      <c r="Z41" s="92">
        <f t="shared" ref="Z41" si="247">IF($AC41=0,"",Y41/$AC41*100)</f>
        <v>9.375548296000467</v>
      </c>
      <c r="AA41" s="90">
        <f>SUM(AA6:AA40)</f>
        <v>83105</v>
      </c>
      <c r="AB41" s="92">
        <f t="shared" ref="AB41" si="248">IF($AC41=0,"",AA41/$AC41*100)</f>
        <v>17.358529188145944</v>
      </c>
      <c r="AC41" s="90">
        <f>SUM(AC6:AC40)</f>
        <v>478756</v>
      </c>
      <c r="AD41" s="90">
        <f>SUM(AD6:AD40)</f>
        <v>395237</v>
      </c>
      <c r="AE41" s="92">
        <f t="shared" si="50"/>
        <v>51.775285903297217</v>
      </c>
      <c r="AF41" s="90">
        <f>SUM(AF6:AF40)</f>
        <v>212789</v>
      </c>
      <c r="AG41" s="92">
        <f t="shared" si="50"/>
        <v>27.874949238246199</v>
      </c>
      <c r="AH41" s="90">
        <f>SUM(AH6:AH40)</f>
        <v>48799</v>
      </c>
      <c r="AI41" s="92">
        <f t="shared" ref="AI41" si="249">IF($AL41=0,"",AH41/$AL41*100)</f>
        <v>6.3925750291470713</v>
      </c>
      <c r="AJ41" s="90">
        <f>SUM(AJ6:AJ40)</f>
        <v>79814</v>
      </c>
      <c r="AK41" s="92">
        <f t="shared" ref="AK41" si="250">IF($AL41=0,"",AJ41/$AL41*100)</f>
        <v>10.455480304439526</v>
      </c>
      <c r="AL41" s="281">
        <f>SUM(AL6:AL40)</f>
        <v>763370</v>
      </c>
      <c r="AM41" s="90">
        <f>SUM(AM6:AM40)</f>
        <v>29983</v>
      </c>
      <c r="AN41" s="92">
        <f t="shared" si="13"/>
        <v>48.754431038407752</v>
      </c>
      <c r="AO41" s="90">
        <f>SUM(AO6:AO40)</f>
        <v>17992</v>
      </c>
      <c r="AP41" s="92">
        <f t="shared" si="13"/>
        <v>29.256235975153665</v>
      </c>
      <c r="AQ41" s="90">
        <f>SUM(AQ6:AQ40)</f>
        <v>2784</v>
      </c>
      <c r="AR41" s="92">
        <f t="shared" ref="AR41" si="251">IF($AU41=0,"",AQ41/$AU41*100)</f>
        <v>4.5269764870402289</v>
      </c>
      <c r="AS41" s="90">
        <f>SUM(AS6:AS40)</f>
        <v>10739</v>
      </c>
      <c r="AT41" s="92">
        <f t="shared" ref="AT41" si="252">IF($AU41=0,"",AS41/$AU41*100)</f>
        <v>17.462356499398354</v>
      </c>
      <c r="AU41" s="90">
        <f>SUM(AU6:AU40)</f>
        <v>61498</v>
      </c>
    </row>
    <row r="43" spans="1:47" ht="12.75" customHeight="1"/>
    <row r="46" spans="1:47">
      <c r="C46" s="5" t="s">
        <v>66</v>
      </c>
      <c r="D46" s="276">
        <f>C41+L41+U41+AD41</f>
        <v>730205</v>
      </c>
      <c r="E46" s="39"/>
    </row>
    <row r="47" spans="1:47">
      <c r="C47" s="5" t="s">
        <v>60</v>
      </c>
      <c r="D47" s="276">
        <f>E41+N41+W41+AF41</f>
        <v>292342</v>
      </c>
    </row>
    <row r="48" spans="1:47">
      <c r="C48" s="5" t="s">
        <v>61</v>
      </c>
      <c r="D48" s="276">
        <f>G41+P41+Y41+AH41</f>
        <v>142101</v>
      </c>
    </row>
    <row r="49" spans="3:4">
      <c r="C49" s="5" t="s">
        <v>62</v>
      </c>
      <c r="D49" s="276">
        <f>I41+R41+AA41+AJ41</f>
        <v>242995</v>
      </c>
    </row>
    <row r="50" spans="3:4">
      <c r="D50" s="5" t="b">
        <f>(K41+T41+AC41+AL41)=(SUM(D46:D49)+K16+T16+AC16+AL16)</f>
        <v>0</v>
      </c>
    </row>
  </sheetData>
  <mergeCells count="35">
    <mergeCell ref="AL3:AL4"/>
    <mergeCell ref="R3:S3"/>
    <mergeCell ref="T3:T4"/>
    <mergeCell ref="AC3:AC4"/>
    <mergeCell ref="AO3:AP3"/>
    <mergeCell ref="AM3:AN3"/>
    <mergeCell ref="AQ3:AR3"/>
    <mergeCell ref="C1:K1"/>
    <mergeCell ref="L1:T1"/>
    <mergeCell ref="Y3:Z3"/>
    <mergeCell ref="AD2:AL2"/>
    <mergeCell ref="AM2:AU2"/>
    <mergeCell ref="C3:D3"/>
    <mergeCell ref="E3:F3"/>
    <mergeCell ref="G3:H3"/>
    <mergeCell ref="I3:J3"/>
    <mergeCell ref="K3:K4"/>
    <mergeCell ref="L3:M3"/>
    <mergeCell ref="N3:O3"/>
    <mergeCell ref="P3:Q3"/>
    <mergeCell ref="AS3:AT3"/>
    <mergeCell ref="AU3:AU4"/>
    <mergeCell ref="A41:B41"/>
    <mergeCell ref="AD3:AE3"/>
    <mergeCell ref="AF3:AG3"/>
    <mergeCell ref="AH3:AI3"/>
    <mergeCell ref="AJ3:AK3"/>
    <mergeCell ref="A2:A4"/>
    <mergeCell ref="B2:B4"/>
    <mergeCell ref="C2:K2"/>
    <mergeCell ref="L2:T2"/>
    <mergeCell ref="U2:AC2"/>
    <mergeCell ref="AA3:AB3"/>
    <mergeCell ref="U3:V3"/>
    <mergeCell ref="W3:X3"/>
  </mergeCells>
  <printOptions horizontalCentered="1"/>
  <pageMargins left="0.18" right="0.17" top="0.35" bottom="0.41" header="0.22" footer="0.17"/>
  <pageSetup paperSize="9" scale="88" firstPageNumber="2" orientation="portrait" useFirstPageNumber="1" r:id="rId1"/>
  <headerFooter alignWithMargins="0">
    <oddFooter>&amp;LStatistics of School Education 2011-12&amp;R&amp;P</oddFooter>
  </headerFooter>
  <colBreaks count="4" manualBreakCount="4">
    <brk id="11" max="1048575" man="1"/>
    <brk id="20" max="1048575" man="1"/>
    <brk id="29" max="1048575" man="1"/>
    <brk id="38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40"/>
  <sheetViews>
    <sheetView view="pageBreakPreview" topLeftCell="A25" zoomScaleSheetLayoutView="100" workbookViewId="0">
      <selection activeCell="P5" sqref="P5"/>
    </sheetView>
  </sheetViews>
  <sheetFormatPr defaultColWidth="8.85546875" defaultRowHeight="15.75"/>
  <cols>
    <col min="1" max="1" width="6.140625" style="5" customWidth="1"/>
    <col min="2" max="2" width="19.425781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31" customFormat="1" ht="24.75" customHeight="1">
      <c r="A1" s="29"/>
      <c r="B1" s="30"/>
      <c r="C1" s="23" t="s">
        <v>143</v>
      </c>
      <c r="D1" s="23"/>
      <c r="E1" s="23"/>
      <c r="F1" s="23"/>
      <c r="G1" s="23"/>
      <c r="H1" s="23"/>
      <c r="I1" s="23"/>
      <c r="J1" s="23"/>
    </row>
    <row r="2" spans="1:10" ht="15.75" customHeight="1">
      <c r="A2" s="24"/>
      <c r="B2" s="24"/>
      <c r="C2" s="141" t="s">
        <v>81</v>
      </c>
      <c r="D2" s="32"/>
      <c r="E2" s="32"/>
      <c r="F2" s="32"/>
      <c r="G2" s="32"/>
      <c r="H2" s="32"/>
      <c r="I2" s="32"/>
      <c r="J2" s="32"/>
    </row>
    <row r="3" spans="1:10" s="33" customFormat="1" ht="37.5" customHeight="1">
      <c r="A3" s="64" t="s">
        <v>67</v>
      </c>
      <c r="B3" s="64" t="s">
        <v>65</v>
      </c>
      <c r="C3" s="66" t="s">
        <v>118</v>
      </c>
      <c r="D3" s="66" t="s">
        <v>112</v>
      </c>
      <c r="E3" s="66" t="s">
        <v>119</v>
      </c>
      <c r="F3" s="66" t="s">
        <v>113</v>
      </c>
      <c r="G3" s="66" t="s">
        <v>114</v>
      </c>
      <c r="H3" s="66" t="s">
        <v>115</v>
      </c>
      <c r="I3" s="66" t="s">
        <v>116</v>
      </c>
      <c r="J3" s="64" t="s">
        <v>117</v>
      </c>
    </row>
    <row r="4" spans="1:10" s="34" customFormat="1" ht="13.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</row>
    <row r="5" spans="1:10" s="35" customFormat="1" ht="19.5" customHeight="1">
      <c r="A5" s="25">
        <v>1</v>
      </c>
      <c r="B5" s="26" t="s">
        <v>16</v>
      </c>
      <c r="C5" s="95">
        <f>IF(EnrlAll!V6=0,"",ROUND(EnrlAll!V6/EnrlAll!U6*100,0))</f>
        <v>96</v>
      </c>
      <c r="D5" s="95">
        <f>IF(EnrlAll!AG6=0,"",ROUND(EnrlAll!AH6/EnrlAll!AG6*100,0))</f>
        <v>98</v>
      </c>
      <c r="E5" s="95">
        <f>IF(EnrlAll!AJ6=0,"",ROUND(EnrlAll!AK6/EnrlAll!AJ6*100,0))</f>
        <v>97</v>
      </c>
      <c r="F5" s="95">
        <f>IF(EnrlAll!AS6=0,"",ROUND(EnrlAll!AT6/EnrlAll!AS6*100,0))</f>
        <v>97</v>
      </c>
      <c r="G5" s="95">
        <f>IF(EnrlAll!AV6=0,"",ROUND(EnrlAll!AW6/EnrlAll!AV6*100,0))</f>
        <v>97</v>
      </c>
      <c r="H5" s="95">
        <f>IF(EnrlAll!BE6=0,"",ROUND(EnrlAll!BF6/EnrlAll!BE6*100,0))</f>
        <v>86</v>
      </c>
      <c r="I5" s="95">
        <f>IF((EnrlAll!AT6+EnrlAll!BF6)=0,"",ROUND((EnrlAll!AT6+EnrlAll!BF6)/(EnrlAll!BE6+EnrlAll!AS6)*100,0))</f>
        <v>92</v>
      </c>
      <c r="J5" s="95">
        <f>IF(EnrlAll!BH6=0,"",ROUND(EnrlAll!BI6/EnrlAll!BH6*100,0))</f>
        <v>95</v>
      </c>
    </row>
    <row r="6" spans="1:10" s="35" customFormat="1" ht="19.5" customHeight="1">
      <c r="A6" s="25">
        <v>2</v>
      </c>
      <c r="B6" s="26" t="s">
        <v>17</v>
      </c>
      <c r="C6" s="95">
        <f>IF(EnrlAll!V7=0,"",ROUND(EnrlAll!V7/EnrlAll!U7*100,0))</f>
        <v>93</v>
      </c>
      <c r="D6" s="95">
        <f>IF(EnrlAll!AG7=0,"",ROUND(EnrlAll!AH7/EnrlAll!AG7*100,0))</f>
        <v>96</v>
      </c>
      <c r="E6" s="95">
        <f>IF(EnrlAll!AJ7=0,"",ROUND(EnrlAll!AK7/EnrlAll!AJ7*100,0))</f>
        <v>94</v>
      </c>
      <c r="F6" s="95">
        <f>IF(EnrlAll!AS7=0,"",ROUND(EnrlAll!AT7/EnrlAll!AS7*100,0))</f>
        <v>89</v>
      </c>
      <c r="G6" s="95">
        <f>IF(EnrlAll!AV7=0,"",ROUND(EnrlAll!AW7/EnrlAll!AV7*100,0))</f>
        <v>93</v>
      </c>
      <c r="H6" s="95">
        <f>IF(EnrlAll!BE7=0,"",ROUND(EnrlAll!BF7/EnrlAll!BE7*100,0))</f>
        <v>89</v>
      </c>
      <c r="I6" s="95">
        <f>IF((EnrlAll!AT7+EnrlAll!BF7)=0,"",ROUND((EnrlAll!AT7+EnrlAll!BF7)/(EnrlAll!BE7+EnrlAll!AS7)*100,0))</f>
        <v>89</v>
      </c>
      <c r="J6" s="95">
        <f>IF(EnrlAll!BH7=0,"",ROUND(EnrlAll!BI7/EnrlAll!BH7*100,0))</f>
        <v>93</v>
      </c>
    </row>
    <row r="7" spans="1:10" s="35" customFormat="1" ht="19.5" customHeight="1">
      <c r="A7" s="25">
        <v>3</v>
      </c>
      <c r="B7" s="26" t="s">
        <v>48</v>
      </c>
      <c r="C7" s="95">
        <f>IF(EnrlAll!V8=0,"",ROUND(EnrlAll!V8/EnrlAll!U8*100,0))</f>
        <v>100</v>
      </c>
      <c r="D7" s="95">
        <f>IF(EnrlAll!AG8=0,"",ROUND(EnrlAll!AH8/EnrlAll!AG8*100,0))</f>
        <v>100</v>
      </c>
      <c r="E7" s="95">
        <f>IF(EnrlAll!AJ8=0,"",ROUND(EnrlAll!AK8/EnrlAll!AJ8*100,0))</f>
        <v>100</v>
      </c>
      <c r="F7" s="95">
        <f>IF(EnrlAll!AS8=0,"",ROUND(EnrlAll!AT8/EnrlAll!AS8*100,0))</f>
        <v>110</v>
      </c>
      <c r="G7" s="95">
        <f>IF(EnrlAll!AV8=0,"",ROUND(EnrlAll!AW8/EnrlAll!AV8*100,0))</f>
        <v>101</v>
      </c>
      <c r="H7" s="95">
        <f>IF(EnrlAll!BE8=0,"",ROUND(EnrlAll!BF8/EnrlAll!BE8*100,0))</f>
        <v>96</v>
      </c>
      <c r="I7" s="95">
        <f>IF((EnrlAll!AT8+EnrlAll!BF8)=0,"",ROUND((EnrlAll!AT8+EnrlAll!BF8)/(EnrlAll!BE8+EnrlAll!AS8)*100,0))</f>
        <v>108</v>
      </c>
      <c r="J7" s="95">
        <f>IF(EnrlAll!BH8=0,"",ROUND(EnrlAll!BI8/EnrlAll!BH8*100,0))</f>
        <v>101</v>
      </c>
    </row>
    <row r="8" spans="1:10" s="35" customFormat="1" ht="19.5" customHeight="1">
      <c r="A8" s="25">
        <v>4</v>
      </c>
      <c r="B8" s="26" t="s">
        <v>18</v>
      </c>
      <c r="C8" s="95">
        <f>IF(EnrlAll!V9=0,"",ROUND(EnrlAll!V9/EnrlAll!U9*100,0))</f>
        <v>90</v>
      </c>
      <c r="D8" s="95">
        <f>IF(EnrlAll!AG9=0,"",ROUND(EnrlAll!AH9/EnrlAll!AG9*100,0))</f>
        <v>87</v>
      </c>
      <c r="E8" s="95">
        <f>IF(EnrlAll!AJ9=0,"",ROUND(EnrlAll!AK9/EnrlAll!AJ9*100,0))</f>
        <v>89</v>
      </c>
      <c r="F8" s="95">
        <f>IF(EnrlAll!AS9=0,"",ROUND(EnrlAll!AT9/EnrlAll!AS9*100,0))</f>
        <v>79</v>
      </c>
      <c r="G8" s="95">
        <f>IF(EnrlAll!AV9=0,"",ROUND(EnrlAll!AW9/EnrlAll!AV9*100,0))</f>
        <v>88</v>
      </c>
      <c r="H8" s="95">
        <f>IF(EnrlAll!BE9=0,"",ROUND(EnrlAll!BF9/EnrlAll!BE9*100,0))</f>
        <v>70</v>
      </c>
      <c r="I8" s="95">
        <f>IF((EnrlAll!AT9+EnrlAll!BF9)=0,"",ROUND((EnrlAll!AT9+EnrlAll!BF9)/(EnrlAll!BE9+EnrlAll!AS9)*100,0))</f>
        <v>76</v>
      </c>
      <c r="J8" s="95">
        <f>IF(EnrlAll!BH9=0,"",ROUND(EnrlAll!BI9/EnrlAll!BH9*100,0))</f>
        <v>87</v>
      </c>
    </row>
    <row r="9" spans="1:10" s="35" customFormat="1" ht="19.5" customHeight="1">
      <c r="A9" s="25">
        <v>5</v>
      </c>
      <c r="B9" s="28" t="s">
        <v>19</v>
      </c>
      <c r="C9" s="95">
        <f>IF(EnrlAll!V10=0,"",ROUND(EnrlAll!V10/EnrlAll!U10*100,0))</f>
        <v>94</v>
      </c>
      <c r="D9" s="95">
        <f>IF(EnrlAll!AG10=0,"",ROUND(EnrlAll!AH10/EnrlAll!AG10*100,0))</f>
        <v>93</v>
      </c>
      <c r="E9" s="95">
        <f>IF(EnrlAll!AJ10=0,"",ROUND(EnrlAll!AK10/EnrlAll!AJ10*100,0))</f>
        <v>93</v>
      </c>
      <c r="F9" s="95">
        <f>IF(EnrlAll!AS10=0,"",ROUND(EnrlAll!AT10/EnrlAll!AS10*100,0))</f>
        <v>93</v>
      </c>
      <c r="G9" s="95">
        <f>IF(EnrlAll!AV10=0,"",ROUND(EnrlAll!AW10/EnrlAll!AV10*100,0))</f>
        <v>93</v>
      </c>
      <c r="H9" s="95">
        <f>IF(EnrlAll!BE10=0,"",ROUND(EnrlAll!BF10/EnrlAll!BE10*100,0))</f>
        <v>85</v>
      </c>
      <c r="I9" s="95">
        <f>IF((EnrlAll!AT10+EnrlAll!BF10)=0,"",ROUND((EnrlAll!AT10+EnrlAll!BF10)/(EnrlAll!BE10+EnrlAll!AS10)*100,0))</f>
        <v>90</v>
      </c>
      <c r="J9" s="95">
        <f>IF(EnrlAll!BH10=0,"",ROUND(EnrlAll!BI10/EnrlAll!BH10*100,0))</f>
        <v>93</v>
      </c>
    </row>
    <row r="10" spans="1:10" s="35" customFormat="1" ht="19.5" customHeight="1">
      <c r="A10" s="25">
        <v>6</v>
      </c>
      <c r="B10" s="26" t="s">
        <v>20</v>
      </c>
      <c r="C10" s="95">
        <f>IF(EnrlAll!V11=0,"",ROUND(EnrlAll!V11/EnrlAll!U11*100,0))</f>
        <v>91</v>
      </c>
      <c r="D10" s="95">
        <f>IF(EnrlAll!AG11=0,"",ROUND(EnrlAll!AH11/EnrlAll!AG11*100,0))</f>
        <v>88</v>
      </c>
      <c r="E10" s="95">
        <f>IF(EnrlAll!AJ11=0,"",ROUND(EnrlAll!AK11/EnrlAll!AJ11*100,0))</f>
        <v>90</v>
      </c>
      <c r="F10" s="95">
        <f>IF(EnrlAll!AS11=0,"",ROUND(EnrlAll!AT11/EnrlAll!AS11*100,0))</f>
        <v>89</v>
      </c>
      <c r="G10" s="95">
        <f>IF(EnrlAll!AV11=0,"",ROUND(EnrlAll!AW11/EnrlAll!AV11*100,0))</f>
        <v>90</v>
      </c>
      <c r="H10" s="95">
        <f>IF(EnrlAll!BE11=0,"",ROUND(EnrlAll!BF11/EnrlAll!BE11*100,0))</f>
        <v>98</v>
      </c>
      <c r="I10" s="95">
        <f>IF((EnrlAll!AT11+EnrlAll!BF11)=0,"",ROUND((EnrlAll!AT11+EnrlAll!BF11)/(EnrlAll!BE11+EnrlAll!AS11)*100,0))</f>
        <v>93</v>
      </c>
      <c r="J10" s="95">
        <f>IF(EnrlAll!BH11=0,"",ROUND(EnrlAll!BI11/EnrlAll!BH11*100,0))</f>
        <v>91</v>
      </c>
    </row>
    <row r="11" spans="1:10" s="35" customFormat="1" ht="19.5" customHeight="1">
      <c r="A11" s="25">
        <v>7</v>
      </c>
      <c r="B11" s="26" t="s">
        <v>21</v>
      </c>
      <c r="C11" s="95">
        <f>IF(EnrlAll!V12=0,"",ROUND(EnrlAll!V12/EnrlAll!U12*100,0))</f>
        <v>87</v>
      </c>
      <c r="D11" s="95">
        <f>IF(EnrlAll!AG12=0,"",ROUND(EnrlAll!AH12/EnrlAll!AG12*100,0))</f>
        <v>81</v>
      </c>
      <c r="E11" s="95">
        <f>IF(EnrlAll!AJ12=0,"",ROUND(EnrlAll!AK12/EnrlAll!AJ12*100,0))</f>
        <v>85</v>
      </c>
      <c r="F11" s="95">
        <f>IF(EnrlAll!AS12=0,"",ROUND(EnrlAll!AT12/EnrlAll!AS12*100,0))</f>
        <v>71</v>
      </c>
      <c r="G11" s="95">
        <f>IF(EnrlAll!AV12=0,"",ROUND(EnrlAll!AW12/EnrlAll!AV12*100,0))</f>
        <v>83</v>
      </c>
      <c r="H11" s="95">
        <f>IF(EnrlAll!BE12=0,"",ROUND(EnrlAll!BF12/EnrlAll!BE12*100,0))</f>
        <v>71</v>
      </c>
      <c r="I11" s="95">
        <f>IF((EnrlAll!AT12+EnrlAll!BF12)=0,"",ROUND((EnrlAll!AT12+EnrlAll!BF12)/(EnrlAll!BE12+EnrlAll!AS12)*100,0))</f>
        <v>71</v>
      </c>
      <c r="J11" s="95">
        <f>IF(EnrlAll!BH12=0,"",ROUND(EnrlAll!BI12/EnrlAll!BH12*100,0))</f>
        <v>82</v>
      </c>
    </row>
    <row r="12" spans="1:10" s="35" customFormat="1" ht="19.5" customHeight="1">
      <c r="A12" s="25">
        <v>8</v>
      </c>
      <c r="B12" s="26" t="s">
        <v>22</v>
      </c>
      <c r="C12" s="95">
        <f>IF(EnrlAll!V13=0,"",ROUND(EnrlAll!V13/EnrlAll!U13*100,0))</f>
        <v>89</v>
      </c>
      <c r="D12" s="95">
        <f>IF(EnrlAll!AG13=0,"",ROUND(EnrlAll!AH13/EnrlAll!AG13*100,0))</f>
        <v>88</v>
      </c>
      <c r="E12" s="95">
        <f>IF(EnrlAll!AJ13=0,"",ROUND(EnrlAll!AK13/EnrlAll!AJ13*100,0))</f>
        <v>89</v>
      </c>
      <c r="F12" s="95">
        <f>IF(EnrlAll!AS13=0,"",ROUND(EnrlAll!AT13/EnrlAll!AS13*100,0))</f>
        <v>89</v>
      </c>
      <c r="G12" s="95">
        <f>IF(EnrlAll!AV13=0,"",ROUND(EnrlAll!AW13/EnrlAll!AV13*100,0))</f>
        <v>89</v>
      </c>
      <c r="H12" s="95">
        <f>IF(EnrlAll!BE13=0,"",ROUND(EnrlAll!BF13/EnrlAll!BE13*100,0))</f>
        <v>82</v>
      </c>
      <c r="I12" s="95">
        <f>IF((EnrlAll!AT13+EnrlAll!BF13)=0,"",ROUND((EnrlAll!AT13+EnrlAll!BF13)/(EnrlAll!BE13+EnrlAll!AS13)*100,0))</f>
        <v>86</v>
      </c>
      <c r="J12" s="95">
        <f>IF(EnrlAll!BH13=0,"",ROUND(EnrlAll!BI13/EnrlAll!BH13*100,0))</f>
        <v>88</v>
      </c>
    </row>
    <row r="13" spans="1:10" s="35" customFormat="1" ht="19.5" customHeight="1">
      <c r="A13" s="25">
        <v>9</v>
      </c>
      <c r="B13" s="26" t="s">
        <v>23</v>
      </c>
      <c r="C13" s="95">
        <f>IF(EnrlAll!V14=0,"",ROUND(EnrlAll!V14/EnrlAll!U14*100,0))</f>
        <v>91</v>
      </c>
      <c r="D13" s="95">
        <f>IF(EnrlAll!AG14=0,"",ROUND(EnrlAll!AH14/EnrlAll!AG14*100,0))</f>
        <v>88</v>
      </c>
      <c r="E13" s="95">
        <f>IF(EnrlAll!AJ14=0,"",ROUND(EnrlAll!AK14/EnrlAll!AJ14*100,0))</f>
        <v>89</v>
      </c>
      <c r="F13" s="95">
        <f>IF(EnrlAll!AS14=0,"",ROUND(EnrlAll!AT14/EnrlAll!AS14*100,0))</f>
        <v>90</v>
      </c>
      <c r="G13" s="95">
        <f>IF(EnrlAll!AV14=0,"",ROUND(EnrlAll!AW14/EnrlAll!AV14*100,0))</f>
        <v>89</v>
      </c>
      <c r="H13" s="95">
        <f>IF(EnrlAll!BE14=0,"",ROUND(EnrlAll!BF14/EnrlAll!BE14*100,0))</f>
        <v>91</v>
      </c>
      <c r="I13" s="95">
        <f>IF((EnrlAll!AT14+EnrlAll!BF14)=0,"",ROUND((EnrlAll!AT14+EnrlAll!BF14)/(EnrlAll!BE14+EnrlAll!AS14)*100,0))</f>
        <v>90</v>
      </c>
      <c r="J13" s="95">
        <f>IF(EnrlAll!BH14=0,"",ROUND(EnrlAll!BI14/EnrlAll!BH14*100,0))</f>
        <v>90</v>
      </c>
    </row>
    <row r="14" spans="1:10" s="35" customFormat="1" ht="19.5" customHeight="1">
      <c r="A14" s="25">
        <v>10</v>
      </c>
      <c r="B14" s="26" t="s">
        <v>24</v>
      </c>
      <c r="C14" s="95">
        <f>IF(EnrlAll!V15=0,"",ROUND(EnrlAll!V15/EnrlAll!U15*100,0))</f>
        <v>92</v>
      </c>
      <c r="D14" s="95">
        <f>IF(EnrlAll!AG15=0,"",ROUND(EnrlAll!AH15/EnrlAll!AG15*100,0))</f>
        <v>88</v>
      </c>
      <c r="E14" s="95">
        <f>IF(EnrlAll!AJ15=0,"",ROUND(EnrlAll!AK15/EnrlAll!AJ15*100,0))</f>
        <v>91</v>
      </c>
      <c r="F14" s="95">
        <f>IF(EnrlAll!AS15=0,"",ROUND(EnrlAll!AT15/EnrlAll!AS15*100,0))</f>
        <v>86</v>
      </c>
      <c r="G14" s="95">
        <f>IF(EnrlAll!AV15=0,"",ROUND(EnrlAll!AW15/EnrlAll!AV15*100,0))</f>
        <v>90</v>
      </c>
      <c r="H14" s="95">
        <f>IF(EnrlAll!BE15=0,"",ROUND(EnrlAll!BF15/EnrlAll!BE15*100,0))</f>
        <v>88</v>
      </c>
      <c r="I14" s="95">
        <f>IF((EnrlAll!AT15+EnrlAll!BF15)=0,"",ROUND((EnrlAll!AT15+EnrlAll!BF15)/(EnrlAll!BE15+EnrlAll!AS15)*100,0))</f>
        <v>87</v>
      </c>
      <c r="J14" s="95">
        <f>IF(EnrlAll!BH15=0,"",ROUND(EnrlAll!BI15/EnrlAll!BH15*100,0))</f>
        <v>90</v>
      </c>
    </row>
    <row r="15" spans="1:10" s="35" customFormat="1" ht="19.5" customHeight="1">
      <c r="A15" s="25">
        <v>11</v>
      </c>
      <c r="B15" s="26" t="s">
        <v>52</v>
      </c>
      <c r="C15" s="95">
        <f>IF(EnrlAll!V16=0,"",ROUND(EnrlAll!V16/EnrlAll!U16*100,0))</f>
        <v>97</v>
      </c>
      <c r="D15" s="95">
        <f>IF(EnrlAll!AG16=0,"",ROUND(EnrlAll!AH16/EnrlAll!AG16*100,0))</f>
        <v>96</v>
      </c>
      <c r="E15" s="95">
        <f>IF(EnrlAll!AJ16=0,"",ROUND(EnrlAll!AK16/EnrlAll!AJ16*100,0))</f>
        <v>97</v>
      </c>
      <c r="F15" s="95">
        <f>IF(EnrlAll!AS16=0,"",ROUND(EnrlAll!AT16/EnrlAll!AS16*100,0))</f>
        <v>87</v>
      </c>
      <c r="G15" s="95">
        <f>IF(EnrlAll!AV16=0,"",ROUND(EnrlAll!AW16/EnrlAll!AV16*100,0))</f>
        <v>96</v>
      </c>
      <c r="H15" s="95">
        <f>IF(EnrlAll!BE16=0,"",ROUND(EnrlAll!BF16/EnrlAll!BE16*100,0))</f>
        <v>84</v>
      </c>
      <c r="I15" s="95">
        <f>IF((EnrlAll!AT16+EnrlAll!BF16)=0,"",ROUND((EnrlAll!AT16+EnrlAll!BF16)/(EnrlAll!BE16+EnrlAll!AS16)*100,0))</f>
        <v>86</v>
      </c>
      <c r="J15" s="95">
        <f>IF(EnrlAll!BH16=0,"",ROUND(EnrlAll!BI16/EnrlAll!BH16*100,0))</f>
        <v>96</v>
      </c>
    </row>
    <row r="16" spans="1:10" s="35" customFormat="1" ht="19.5" customHeight="1">
      <c r="A16" s="25">
        <v>12</v>
      </c>
      <c r="B16" s="26" t="s">
        <v>25</v>
      </c>
      <c r="C16" s="95">
        <f>IF(EnrlAll!V17=0,"",ROUND(EnrlAll!V17/EnrlAll!U17*100,0))</f>
        <v>92</v>
      </c>
      <c r="D16" s="95">
        <f>IF(EnrlAll!AG17=0,"",ROUND(EnrlAll!AH17/EnrlAll!AG17*100,0))</f>
        <v>93</v>
      </c>
      <c r="E16" s="95">
        <f>IF(EnrlAll!AJ17=0,"",ROUND(EnrlAll!AK17/EnrlAll!AJ17*100,0))</f>
        <v>93</v>
      </c>
      <c r="F16" s="95">
        <f>IF(EnrlAll!AS17=0,"",ROUND(EnrlAll!AT17/EnrlAll!AS17*100,0))</f>
        <v>93</v>
      </c>
      <c r="G16" s="95">
        <f>IF(EnrlAll!AV17=0,"",ROUND(EnrlAll!AW17/EnrlAll!AV17*100,0))</f>
        <v>93</v>
      </c>
      <c r="H16" s="95">
        <f>IF(EnrlAll!BE17=0,"",ROUND(EnrlAll!BF17/EnrlAll!BE17*100,0))</f>
        <v>99</v>
      </c>
      <c r="I16" s="95">
        <f>IF((EnrlAll!AT17+EnrlAll!BF17)=0,"",ROUND((EnrlAll!AT17+EnrlAll!BF17)/(EnrlAll!BE17+EnrlAll!AS17)*100,0))</f>
        <v>95</v>
      </c>
      <c r="J16" s="95">
        <f>IF(EnrlAll!BH17=0,"",ROUND(EnrlAll!BI17/EnrlAll!BH17*100,0))</f>
        <v>93</v>
      </c>
    </row>
    <row r="17" spans="1:10" s="35" customFormat="1" ht="19.5" customHeight="1">
      <c r="A17" s="25">
        <v>13</v>
      </c>
      <c r="B17" s="26" t="s">
        <v>26</v>
      </c>
      <c r="C17" s="95">
        <f>IF(EnrlAll!V18=0,"",ROUND(EnrlAll!V18/EnrlAll!U18*100,0))</f>
        <v>96</v>
      </c>
      <c r="D17" s="95">
        <f>IF(EnrlAll!AG18=0,"",ROUND(EnrlAll!AH18/EnrlAll!AG18*100,0))</f>
        <v>94</v>
      </c>
      <c r="E17" s="95">
        <f>IF(EnrlAll!AJ18=0,"",ROUND(EnrlAll!AK18/EnrlAll!AJ18*100,0))</f>
        <v>95</v>
      </c>
      <c r="F17" s="95">
        <f>IF(EnrlAll!AS18=0,"",ROUND(EnrlAll!AT18/EnrlAll!AS18*100,0))</f>
        <v>96</v>
      </c>
      <c r="G17" s="95">
        <f>IF(EnrlAll!AV18=0,"",ROUND(EnrlAll!AW18/EnrlAll!AV18*100,0))</f>
        <v>95</v>
      </c>
      <c r="H17" s="95">
        <f>IF(EnrlAll!BE18=0,"",ROUND(EnrlAll!BF18/EnrlAll!BE18*100,0))</f>
        <v>114</v>
      </c>
      <c r="I17" s="95">
        <f>IF((EnrlAll!AT18+EnrlAll!BF18)=0,"",ROUND((EnrlAll!AT18+EnrlAll!BF18)/(EnrlAll!BE18+EnrlAll!AS18)*100,0))</f>
        <v>103</v>
      </c>
      <c r="J17" s="95">
        <f>IF(EnrlAll!BH18=0,"",ROUND(EnrlAll!BI18/EnrlAll!BH18*100,0))</f>
        <v>98</v>
      </c>
    </row>
    <row r="18" spans="1:10" s="35" customFormat="1" ht="19.5" customHeight="1">
      <c r="A18" s="25">
        <v>14</v>
      </c>
      <c r="B18" s="26" t="s">
        <v>27</v>
      </c>
      <c r="C18" s="95">
        <f>IF(EnrlAll!V19=0,"",ROUND(EnrlAll!V19/EnrlAll!U19*100,0))</f>
        <v>97</v>
      </c>
      <c r="D18" s="95">
        <f>IF(EnrlAll!AG19=0,"",ROUND(EnrlAll!AH19/EnrlAll!AG19*100,0))</f>
        <v>98</v>
      </c>
      <c r="E18" s="95">
        <f>IF(EnrlAll!AJ19=0,"",ROUND(EnrlAll!AK19/EnrlAll!AJ19*100,0))</f>
        <v>97</v>
      </c>
      <c r="F18" s="95">
        <f>IF(EnrlAll!AS19=0,"",ROUND(EnrlAll!AT19/EnrlAll!AS19*100,0))</f>
        <v>62</v>
      </c>
      <c r="G18" s="95">
        <f>IF(EnrlAll!AV19=0,"",ROUND(EnrlAll!AW19/EnrlAll!AV19*100,0))</f>
        <v>92</v>
      </c>
      <c r="H18" s="95">
        <f>IF(EnrlAll!BE19=0,"",ROUND(EnrlAll!BF19/EnrlAll!BE19*100,0))</f>
        <v>66</v>
      </c>
      <c r="I18" s="95">
        <f>IF((EnrlAll!AT19+EnrlAll!BF19)=0,"",ROUND((EnrlAll!AT19+EnrlAll!BF19)/(EnrlAll!BE19+EnrlAll!AS19)*100,0))</f>
        <v>64</v>
      </c>
      <c r="J18" s="95">
        <f>IF(EnrlAll!BH19=0,"",ROUND(EnrlAll!BI19/EnrlAll!BH19*100,0))</f>
        <v>90</v>
      </c>
    </row>
    <row r="19" spans="1:10" s="35" customFormat="1" ht="19.5" customHeight="1">
      <c r="A19" s="25">
        <v>15</v>
      </c>
      <c r="B19" s="26" t="s">
        <v>28</v>
      </c>
      <c r="C19" s="95">
        <f>IF(EnrlAll!V20=0,"",ROUND(EnrlAll!V20/EnrlAll!U20*100,0))</f>
        <v>89</v>
      </c>
      <c r="D19" s="95">
        <f>IF(EnrlAll!AG20=0,"",ROUND(EnrlAll!AH20/EnrlAll!AG20*100,0))</f>
        <v>87</v>
      </c>
      <c r="E19" s="95">
        <f>IF(EnrlAll!AJ20=0,"",ROUND(EnrlAll!AK20/EnrlAll!AJ20*100,0))</f>
        <v>88</v>
      </c>
      <c r="F19" s="95">
        <f>IF(EnrlAll!AS20=0,"",ROUND(EnrlAll!AT20/EnrlAll!AS20*100,0))</f>
        <v>86</v>
      </c>
      <c r="G19" s="95">
        <f>IF(EnrlAll!AV20=0,"",ROUND(EnrlAll!AW20/EnrlAll!AV20*100,0))</f>
        <v>88</v>
      </c>
      <c r="H19" s="95">
        <f>IF(EnrlAll!BE20=0,"",ROUND(EnrlAll!BF20/EnrlAll!BE20*100,0))</f>
        <v>79</v>
      </c>
      <c r="I19" s="95">
        <f>IF((EnrlAll!AT20+EnrlAll!BF20)=0,"",ROUND((EnrlAll!AT20+EnrlAll!BF20)/(EnrlAll!BE20+EnrlAll!AS20)*100,0))</f>
        <v>83</v>
      </c>
      <c r="J19" s="95">
        <f>IF(EnrlAll!BH20=0,"",ROUND(EnrlAll!BI20/EnrlAll!BH20*100,0))</f>
        <v>87</v>
      </c>
    </row>
    <row r="20" spans="1:10" s="35" customFormat="1" ht="19.5" customHeight="1">
      <c r="A20" s="25">
        <v>16</v>
      </c>
      <c r="B20" s="26" t="s">
        <v>29</v>
      </c>
      <c r="C20" s="95">
        <f>IF(EnrlAll!V21=0,"",ROUND(EnrlAll!V21/EnrlAll!U21*100,0))</f>
        <v>99</v>
      </c>
      <c r="D20" s="95">
        <f>IF(EnrlAll!AG21=0,"",ROUND(EnrlAll!AH21/EnrlAll!AG21*100,0))</f>
        <v>101</v>
      </c>
      <c r="E20" s="95">
        <f>IF(EnrlAll!AJ21=0,"",ROUND(EnrlAll!AK21/EnrlAll!AJ21*100,0))</f>
        <v>99</v>
      </c>
      <c r="F20" s="95">
        <f>IF(EnrlAll!AS21=0,"",ROUND(EnrlAll!AT21/EnrlAll!AS21*100,0))</f>
        <v>102</v>
      </c>
      <c r="G20" s="95">
        <f>IF(EnrlAll!AV21=0,"",ROUND(EnrlAll!AW21/EnrlAll!AV21*100,0))</f>
        <v>100</v>
      </c>
      <c r="H20" s="95">
        <f>IF(EnrlAll!BE21=0,"",ROUND(EnrlAll!BF21/EnrlAll!BE21*100,0))</f>
        <v>91</v>
      </c>
      <c r="I20" s="95">
        <f>IF((EnrlAll!AT21+EnrlAll!BF21)=0,"",ROUND((EnrlAll!AT21+EnrlAll!BF21)/(EnrlAll!BE21+EnrlAll!AS21)*100,0))</f>
        <v>98</v>
      </c>
      <c r="J20" s="95">
        <f>IF(EnrlAll!BH21=0,"",ROUND(EnrlAll!BI21/EnrlAll!BH21*100,0))</f>
        <v>99</v>
      </c>
    </row>
    <row r="21" spans="1:10" s="35" customFormat="1" ht="19.5" customHeight="1">
      <c r="A21" s="25">
        <v>17</v>
      </c>
      <c r="B21" s="26" t="s">
        <v>30</v>
      </c>
      <c r="C21" s="95">
        <f>IF(EnrlAll!V22=0,"",ROUND(EnrlAll!V22/EnrlAll!U22*100,0))</f>
        <v>101</v>
      </c>
      <c r="D21" s="95">
        <f>IF(EnrlAll!AG22=0,"",ROUND(EnrlAll!AH22/EnrlAll!AG22*100,0))</f>
        <v>112</v>
      </c>
      <c r="E21" s="95">
        <f>IF(EnrlAll!AJ22=0,"",ROUND(EnrlAll!AK22/EnrlAll!AJ22*100,0))</f>
        <v>104</v>
      </c>
      <c r="F21" s="95">
        <f>IF(EnrlAll!AS22=0,"",ROUND(EnrlAll!AT22/EnrlAll!AS22*100,0))</f>
        <v>115</v>
      </c>
      <c r="G21" s="95">
        <f>IF(EnrlAll!AV22=0,"",ROUND(EnrlAll!AW22/EnrlAll!AV22*100,0))</f>
        <v>105</v>
      </c>
      <c r="H21" s="95">
        <f>IF(EnrlAll!BE22=0,"",ROUND(EnrlAll!BF22/EnrlAll!BE22*100,0))</f>
        <v>128</v>
      </c>
      <c r="I21" s="95">
        <f>IF((EnrlAll!AT22+EnrlAll!BF22)=0,"",ROUND((EnrlAll!AT22+EnrlAll!BF22)/(EnrlAll!BE22+EnrlAll!AS22)*100,0))</f>
        <v>118</v>
      </c>
      <c r="J21" s="95">
        <f>IF(EnrlAll!BH22=0,"",ROUND(EnrlAll!BI22/EnrlAll!BH22*100,0))</f>
        <v>106</v>
      </c>
    </row>
    <row r="22" spans="1:10" s="35" customFormat="1" ht="19.5" customHeight="1">
      <c r="A22" s="25">
        <v>18</v>
      </c>
      <c r="B22" s="26" t="s">
        <v>31</v>
      </c>
      <c r="C22" s="95">
        <f>IF(EnrlAll!V23=0,"",ROUND(EnrlAll!V23/EnrlAll!U23*100,0))</f>
        <v>91</v>
      </c>
      <c r="D22" s="95">
        <f>IF(EnrlAll!AG23=0,"",ROUND(EnrlAll!AH23/EnrlAll!AG23*100,0))</f>
        <v>91</v>
      </c>
      <c r="E22" s="95">
        <f>IF(EnrlAll!AJ23=0,"",ROUND(EnrlAll!AK23/EnrlAll!AJ23*100,0))</f>
        <v>91</v>
      </c>
      <c r="F22" s="95">
        <f>IF(EnrlAll!AS23=0,"",ROUND(EnrlAll!AT23/EnrlAll!AS23*100,0))</f>
        <v>101</v>
      </c>
      <c r="G22" s="95">
        <f>IF(EnrlAll!AV23=0,"",ROUND(EnrlAll!AW23/EnrlAll!AV23*100,0))</f>
        <v>92</v>
      </c>
      <c r="H22" s="95">
        <f>IF(EnrlAll!BE23=0,"",ROUND(EnrlAll!BF23/EnrlAll!BE23*100,0))</f>
        <v>99</v>
      </c>
      <c r="I22" s="95">
        <f>IF((EnrlAll!AT23+EnrlAll!BF23)=0,"",ROUND((EnrlAll!AT23+EnrlAll!BF23)/(EnrlAll!BE23+EnrlAll!AS23)*100,0))</f>
        <v>100</v>
      </c>
      <c r="J22" s="95">
        <f>IF(EnrlAll!BH23=0,"",ROUND(EnrlAll!BI23/EnrlAll!BH23*100,0))</f>
        <v>93</v>
      </c>
    </row>
    <row r="23" spans="1:10" s="35" customFormat="1" ht="19.5" customHeight="1">
      <c r="A23" s="25">
        <v>19</v>
      </c>
      <c r="B23" s="26" t="s">
        <v>54</v>
      </c>
      <c r="C23" s="95">
        <f>IF(EnrlAll!V24=0,"",ROUND(EnrlAll!V24/EnrlAll!U24*100,0))</f>
        <v>93</v>
      </c>
      <c r="D23" s="95">
        <f>IF(EnrlAll!AG24=0,"",ROUND(EnrlAll!AH24/EnrlAll!AG24*100,0))</f>
        <v>96</v>
      </c>
      <c r="E23" s="95">
        <f>IF(EnrlAll!AJ24=0,"",ROUND(EnrlAll!AK24/EnrlAll!AJ24*100,0))</f>
        <v>94</v>
      </c>
      <c r="F23" s="95">
        <f>IF(EnrlAll!AS24=0,"",ROUND(EnrlAll!AT24/EnrlAll!AS24*100,0))</f>
        <v>99</v>
      </c>
      <c r="G23" s="95">
        <f>IF(EnrlAll!AV24=0,"",ROUND(EnrlAll!AW24/EnrlAll!AV24*100,0))</f>
        <v>94</v>
      </c>
      <c r="H23" s="95">
        <f>IF(EnrlAll!BE24=0,"",ROUND(EnrlAll!BF24/EnrlAll!BE24*100,0))</f>
        <v>92</v>
      </c>
      <c r="I23" s="95">
        <f>IF((EnrlAll!AT24+EnrlAll!BF24)=0,"",ROUND((EnrlAll!AT24+EnrlAll!BF24)/(EnrlAll!BE24+EnrlAll!AS24)*100,0))</f>
        <v>96</v>
      </c>
      <c r="J23" s="95">
        <f>IF(EnrlAll!BH24=0,"",ROUND(EnrlAll!BI24/EnrlAll!BH24*100,0))</f>
        <v>94</v>
      </c>
    </row>
    <row r="24" spans="1:10" s="35" customFormat="1" ht="19.5" customHeight="1">
      <c r="A24" s="25">
        <v>20</v>
      </c>
      <c r="B24" s="2" t="s">
        <v>55</v>
      </c>
      <c r="C24" s="95">
        <f>IF(EnrlAll!V25=0,"",ROUND(EnrlAll!V25/EnrlAll!U25*100,0))</f>
        <v>94</v>
      </c>
      <c r="D24" s="95">
        <f>IF(EnrlAll!AG25=0,"",ROUND(EnrlAll!AH25/EnrlAll!AG25*100,0))</f>
        <v>95</v>
      </c>
      <c r="E24" s="95">
        <f>IF(EnrlAll!AJ25=0,"",ROUND(EnrlAll!AK25/EnrlAll!AJ25*100,0))</f>
        <v>94</v>
      </c>
      <c r="F24" s="95">
        <f>IF(EnrlAll!AS25=0,"",ROUND(EnrlAll!AT25/EnrlAll!AS25*100,0))</f>
        <v>92</v>
      </c>
      <c r="G24" s="95">
        <f>IF(EnrlAll!AV25=0,"",ROUND(EnrlAll!AW25/EnrlAll!AV25*100,0))</f>
        <v>94</v>
      </c>
      <c r="H24" s="95">
        <f>IF(EnrlAll!BE25=0,"",ROUND(EnrlAll!BF25/EnrlAll!BE25*100,0))</f>
        <v>67</v>
      </c>
      <c r="I24" s="95">
        <f>IF((EnrlAll!AT25+EnrlAll!BF25)=0,"",ROUND((EnrlAll!AT25+EnrlAll!BF25)/(EnrlAll!BE25+EnrlAll!AS25)*100,0))</f>
        <v>83</v>
      </c>
      <c r="J24" s="95">
        <f>IF(EnrlAll!BH25=0,"",ROUND(EnrlAll!BI25/EnrlAll!BH25*100,0))</f>
        <v>92</v>
      </c>
    </row>
    <row r="25" spans="1:10" s="35" customFormat="1" ht="19.5" customHeight="1">
      <c r="A25" s="25">
        <v>21</v>
      </c>
      <c r="B25" s="26" t="s">
        <v>74</v>
      </c>
      <c r="C25" s="95">
        <f>IF(EnrlAll!V26=0,"",ROUND(EnrlAll!V26/EnrlAll!U26*100,0))</f>
        <v>81</v>
      </c>
      <c r="D25" s="95">
        <f>IF(EnrlAll!AG26=0,"",ROUND(EnrlAll!AH26/EnrlAll!AG26*100,0))</f>
        <v>78</v>
      </c>
      <c r="E25" s="95">
        <f>IF(EnrlAll!AJ26=0,"",ROUND(EnrlAll!AK26/EnrlAll!AJ26*100,0))</f>
        <v>80</v>
      </c>
      <c r="F25" s="95">
        <f>IF(EnrlAll!AS26=0,"",ROUND(EnrlAll!AT26/EnrlAll!AS26*100,0))</f>
        <v>80</v>
      </c>
      <c r="G25" s="95">
        <f>IF(EnrlAll!AV26=0,"",ROUND(EnrlAll!AW26/EnrlAll!AV26*100,0))</f>
        <v>80</v>
      </c>
      <c r="H25" s="95">
        <f>IF(EnrlAll!BE26=0,"",ROUND(EnrlAll!BF26/EnrlAll!BE26*100,0))</f>
        <v>85</v>
      </c>
      <c r="I25" s="95">
        <f>IF((EnrlAll!AT26+EnrlAll!BF26)=0,"",ROUND((EnrlAll!AT26+EnrlAll!BF26)/(EnrlAll!BE26+EnrlAll!AS26)*100,0))</f>
        <v>82</v>
      </c>
      <c r="J25" s="95">
        <f>IF(EnrlAll!BH26=0,"",ROUND(EnrlAll!BI26/EnrlAll!BH26*100,0))</f>
        <v>80</v>
      </c>
    </row>
    <row r="26" spans="1:10" s="35" customFormat="1" ht="19.5" customHeight="1">
      <c r="A26" s="25">
        <v>22</v>
      </c>
      <c r="B26" s="26" t="s">
        <v>32</v>
      </c>
      <c r="C26" s="95">
        <f>IF(EnrlAll!V27=0,"",ROUND(EnrlAll!V27/EnrlAll!U27*100,0))</f>
        <v>89</v>
      </c>
      <c r="D26" s="95">
        <f>IF(EnrlAll!AG27=0,"",ROUND(EnrlAll!AH27/EnrlAll!AG27*100,0))</f>
        <v>81</v>
      </c>
      <c r="E26" s="95">
        <f>IF(EnrlAll!AJ27=0,"",ROUND(EnrlAll!AK27/EnrlAll!AJ27*100,0))</f>
        <v>86</v>
      </c>
      <c r="F26" s="95">
        <f>IF(EnrlAll!AS27=0,"",ROUND(EnrlAll!AT27/EnrlAll!AS27*100,0))</f>
        <v>66</v>
      </c>
      <c r="G26" s="95">
        <f>IF(EnrlAll!AV27=0,"",ROUND(EnrlAll!AW27/EnrlAll!AV27*100,0))</f>
        <v>83</v>
      </c>
      <c r="H26" s="95">
        <f>IF(EnrlAll!BE27=0,"",ROUND(EnrlAll!BF27/EnrlAll!BE27*100,0))</f>
        <v>60</v>
      </c>
      <c r="I26" s="95">
        <f>IF((EnrlAll!AT27+EnrlAll!BF27)=0,"",ROUND((EnrlAll!AT27+EnrlAll!BF27)/(EnrlAll!BE27+EnrlAll!AS27)*100,0))</f>
        <v>64</v>
      </c>
      <c r="J26" s="95">
        <f>IF(EnrlAll!BH27=0,"",ROUND(EnrlAll!BI27/EnrlAll!BH27*100,0))</f>
        <v>81</v>
      </c>
    </row>
    <row r="27" spans="1:10" s="35" customFormat="1" ht="19.5" customHeight="1">
      <c r="A27" s="25">
        <v>23</v>
      </c>
      <c r="B27" s="26" t="s">
        <v>33</v>
      </c>
      <c r="C27" s="95">
        <f>IF(EnrlAll!V28=0,"",ROUND(EnrlAll!V28/EnrlAll!U28*100,0))</f>
        <v>97</v>
      </c>
      <c r="D27" s="95">
        <f>IF(EnrlAll!AG28=0,"",ROUND(EnrlAll!AH28/EnrlAll!AG28*100,0))</f>
        <v>115</v>
      </c>
      <c r="E27" s="95">
        <f>IF(EnrlAll!AJ28=0,"",ROUND(EnrlAll!AK28/EnrlAll!AJ28*100,0))</f>
        <v>103</v>
      </c>
      <c r="F27" s="95">
        <f>IF(EnrlAll!AS28=0,"",ROUND(EnrlAll!AT28/EnrlAll!AS28*100,0))</f>
        <v>118</v>
      </c>
      <c r="G27" s="95">
        <f>IF(EnrlAll!AV28=0,"",ROUND(EnrlAll!AW28/EnrlAll!AV28*100,0))</f>
        <v>105</v>
      </c>
      <c r="H27" s="95">
        <f>IF(EnrlAll!BE28=0,"",ROUND(EnrlAll!BF28/EnrlAll!BE28*100,0))</f>
        <v>117</v>
      </c>
      <c r="I27" s="95">
        <f>IF((EnrlAll!AT28+EnrlAll!BF28)=0,"",ROUND((EnrlAll!AT28+EnrlAll!BF28)/(EnrlAll!BE28+EnrlAll!AS28)*100,0))</f>
        <v>118</v>
      </c>
      <c r="J27" s="95">
        <f>IF(EnrlAll!BH28=0,"",ROUND(EnrlAll!BI28/EnrlAll!BH28*100,0))</f>
        <v>105</v>
      </c>
    </row>
    <row r="28" spans="1:10" s="35" customFormat="1" ht="19.5" customHeight="1">
      <c r="A28" s="25">
        <v>24</v>
      </c>
      <c r="B28" s="26" t="s">
        <v>34</v>
      </c>
      <c r="C28" s="95">
        <f>IF(EnrlAll!V29=0,"",ROUND(EnrlAll!V29/EnrlAll!U29*100,0))</f>
        <v>96</v>
      </c>
      <c r="D28" s="95">
        <f>IF(EnrlAll!AG29=0,"",ROUND(EnrlAll!AH29/EnrlAll!AG29*100,0))</f>
        <v>95</v>
      </c>
      <c r="E28" s="95">
        <f>IF(EnrlAll!AJ29=0,"",ROUND(EnrlAll!AK29/EnrlAll!AJ29*100,0))</f>
        <v>96</v>
      </c>
      <c r="F28" s="95">
        <f>IF(EnrlAll!AS29=0,"",ROUND(EnrlAll!AT29/EnrlAll!AS29*100,0))</f>
        <v>97</v>
      </c>
      <c r="G28" s="95">
        <f>IF(EnrlAll!AV29=0,"",ROUND(EnrlAll!AW29/EnrlAll!AV29*100,0))</f>
        <v>96</v>
      </c>
      <c r="H28" s="95">
        <f>IF(EnrlAll!BE29=0,"",ROUND(EnrlAll!BF29/EnrlAll!BE29*100,0))</f>
        <v>118</v>
      </c>
      <c r="I28" s="95">
        <f>IF((EnrlAll!AT29+EnrlAll!BF29)=0,"",ROUND((EnrlAll!AT29+EnrlAll!BF29)/(EnrlAll!BE29+EnrlAll!AS29)*100,0))</f>
        <v>105</v>
      </c>
      <c r="J28" s="95">
        <f>IF(EnrlAll!BH29=0,"",ROUND(EnrlAll!BI29/EnrlAll!BH29*100,0))</f>
        <v>98</v>
      </c>
    </row>
    <row r="29" spans="1:10" s="35" customFormat="1" ht="19.5" customHeight="1">
      <c r="A29" s="25">
        <v>25</v>
      </c>
      <c r="B29" s="26" t="s">
        <v>35</v>
      </c>
      <c r="C29" s="95">
        <f>IF(EnrlAll!V30=0,"",ROUND(EnrlAll!V30/EnrlAll!U30*100,0))</f>
        <v>96</v>
      </c>
      <c r="D29" s="95">
        <f>IF(EnrlAll!AG30=0,"",ROUND(EnrlAll!AH30/EnrlAll!AG30*100,0))</f>
        <v>96</v>
      </c>
      <c r="E29" s="95">
        <f>IF(EnrlAll!AJ30=0,"",ROUND(EnrlAll!AK30/EnrlAll!AJ30*100,0))</f>
        <v>96</v>
      </c>
      <c r="F29" s="95">
        <f>IF(EnrlAll!AS30=0,"",ROUND(EnrlAll!AT30/EnrlAll!AS30*100,0))</f>
        <v>97</v>
      </c>
      <c r="G29" s="95">
        <f>IF(EnrlAll!AV30=0,"",ROUND(EnrlAll!AW30/EnrlAll!AV30*100,0))</f>
        <v>96</v>
      </c>
      <c r="H29" s="95">
        <f>IF(EnrlAll!BE30=0,"",ROUND(EnrlAll!BF30/EnrlAll!BE30*100,0))</f>
        <v>74</v>
      </c>
      <c r="I29" s="95">
        <f>IF((EnrlAll!AT30+EnrlAll!BF30)=0,"",ROUND((EnrlAll!AT30+EnrlAll!BF30)/(EnrlAll!BE30+EnrlAll!AS30)*100,0))</f>
        <v>90</v>
      </c>
      <c r="J29" s="95">
        <f>IF(EnrlAll!BH30=0,"",ROUND(EnrlAll!BI30/EnrlAll!BH30*100,0))</f>
        <v>95</v>
      </c>
    </row>
    <row r="30" spans="1:10" s="35" customFormat="1" ht="19.5" customHeight="1">
      <c r="A30" s="25">
        <v>26</v>
      </c>
      <c r="B30" s="26" t="s">
        <v>36</v>
      </c>
      <c r="C30" s="95">
        <f>IF(EnrlAll!V31=0,"",ROUND(EnrlAll!V31/EnrlAll!U31*100,0))</f>
        <v>92</v>
      </c>
      <c r="D30" s="95">
        <f>IF(EnrlAll!AG31=0,"",ROUND(EnrlAll!AH31/EnrlAll!AG31*100,0))</f>
        <v>82</v>
      </c>
      <c r="E30" s="95">
        <f>IF(EnrlAll!AJ31=0,"",ROUND(EnrlAll!AK31/EnrlAll!AJ31*100,0))</f>
        <v>89</v>
      </c>
      <c r="F30" s="95">
        <f>IF(EnrlAll!AS31=0,"",ROUND(EnrlAll!AT31/EnrlAll!AS31*100,0))</f>
        <v>75</v>
      </c>
      <c r="G30" s="95">
        <f>IF(EnrlAll!AV31=0,"",ROUND(EnrlAll!AW31/EnrlAll!AV31*100,0))</f>
        <v>87</v>
      </c>
      <c r="H30" s="95">
        <f>IF(EnrlAll!BE31=0,"",ROUND(EnrlAll!BF31/EnrlAll!BE31*100,0))</f>
        <v>76</v>
      </c>
      <c r="I30" s="95">
        <f>IF((EnrlAll!AT31+EnrlAll!BF31)=0,"",ROUND((EnrlAll!AT31+EnrlAll!BF31)/(EnrlAll!BE31+EnrlAll!AS31)*100,0))</f>
        <v>75</v>
      </c>
      <c r="J30" s="95">
        <f>IF(EnrlAll!BH31=0,"",ROUND(EnrlAll!BI31/EnrlAll!BH31*100,0))</f>
        <v>86</v>
      </c>
    </row>
    <row r="31" spans="1:10" s="35" customFormat="1" ht="19.5" customHeight="1">
      <c r="A31" s="25">
        <v>27</v>
      </c>
      <c r="B31" s="26" t="s">
        <v>37</v>
      </c>
      <c r="C31" s="95">
        <f>IF(EnrlAll!V32=0,"",ROUND(EnrlAll!V32/EnrlAll!U32*100,0))</f>
        <v>91</v>
      </c>
      <c r="D31" s="95">
        <f>IF(EnrlAll!AG32=0,"",ROUND(EnrlAll!AH32/EnrlAll!AG32*100,0))</f>
        <v>95</v>
      </c>
      <c r="E31" s="95">
        <f>IF(EnrlAll!AJ32=0,"",ROUND(EnrlAll!AK32/EnrlAll!AJ32*100,0))</f>
        <v>92</v>
      </c>
      <c r="F31" s="95">
        <f>IF(EnrlAll!AS32=0,"",ROUND(EnrlAll!AT32/EnrlAll!AS32*100,0))</f>
        <v>89</v>
      </c>
      <c r="G31" s="95">
        <f>IF(EnrlAll!AV32=0,"",ROUND(EnrlAll!AW32/EnrlAll!AV32*100,0))</f>
        <v>92</v>
      </c>
      <c r="H31" s="95">
        <f>IF(EnrlAll!BE32=0,"",ROUND(EnrlAll!BF32/EnrlAll!BE32*100,0))</f>
        <v>92</v>
      </c>
      <c r="I31" s="95">
        <f>IF((EnrlAll!AT32+EnrlAll!BF32)=0,"",ROUND((EnrlAll!AT32+EnrlAll!BF32)/(EnrlAll!BE32+EnrlAll!AS32)*100,0))</f>
        <v>90</v>
      </c>
      <c r="J31" s="95">
        <f>IF(EnrlAll!BH32=0,"",ROUND(EnrlAll!BI32/EnrlAll!BH32*100,0))</f>
        <v>92</v>
      </c>
    </row>
    <row r="32" spans="1:10" s="35" customFormat="1" ht="19.5" customHeight="1">
      <c r="A32" s="25">
        <v>28</v>
      </c>
      <c r="B32" s="26" t="s">
        <v>38</v>
      </c>
      <c r="C32" s="95">
        <f>IF(EnrlAll!V33=0,"",ROUND(EnrlAll!V33/EnrlAll!U33*100,0))</f>
        <v>98</v>
      </c>
      <c r="D32" s="95">
        <f>IF(EnrlAll!AG33=0,"",ROUND(EnrlAll!AH33/EnrlAll!AG33*100,0))</f>
        <v>108</v>
      </c>
      <c r="E32" s="95">
        <f>IF(EnrlAll!AJ33=0,"",ROUND(EnrlAll!AK33/EnrlAll!AJ33*100,0))</f>
        <v>101</v>
      </c>
      <c r="F32" s="95">
        <f>IF(EnrlAll!AS33=0,"",ROUND(EnrlAll!AT33/EnrlAll!AS33*100,0))</f>
        <v>109</v>
      </c>
      <c r="G32" s="95">
        <f>IF(EnrlAll!AV33=0,"",ROUND(EnrlAll!AW33/EnrlAll!AV33*100,0))</f>
        <v>102</v>
      </c>
      <c r="H32" s="95">
        <f>IF(EnrlAll!BE33=0,"",ROUND(EnrlAll!BF33/EnrlAll!BE33*100,0))</f>
        <v>87</v>
      </c>
      <c r="I32" s="95">
        <f>IF((EnrlAll!AT33+EnrlAll!BF33)=0,"",ROUND((EnrlAll!AT33+EnrlAll!BF33)/(EnrlAll!BE33+EnrlAll!AS33)*100,0))</f>
        <v>100</v>
      </c>
      <c r="J32" s="95">
        <f>IF(EnrlAll!BH33=0,"",ROUND(EnrlAll!BI33/EnrlAll!BH33*100,0))</f>
        <v>101</v>
      </c>
    </row>
    <row r="33" spans="1:10" s="35" customFormat="1" ht="19.5" customHeight="1">
      <c r="A33" s="25">
        <v>29</v>
      </c>
      <c r="B33" s="26" t="s">
        <v>39</v>
      </c>
      <c r="C33" s="95">
        <f>IF(EnrlAll!V34=0,"",ROUND(EnrlAll!V34/EnrlAll!U34*100,0))</f>
        <v>96</v>
      </c>
      <c r="D33" s="95">
        <f>IF(EnrlAll!AG34=0,"",ROUND(EnrlAll!AH34/EnrlAll!AG34*100,0))</f>
        <v>93</v>
      </c>
      <c r="E33" s="95">
        <f>IF(EnrlAll!AJ34=0,"",ROUND(EnrlAll!AK34/EnrlAll!AJ34*100,0))</f>
        <v>95</v>
      </c>
      <c r="F33" s="95">
        <f>IF(EnrlAll!AS34=0,"",ROUND(EnrlAll!AT34/EnrlAll!AS34*100,0))</f>
        <v>90</v>
      </c>
      <c r="G33" s="95">
        <f>IF(EnrlAll!AV34=0,"",ROUND(EnrlAll!AW34/EnrlAll!AV34*100,0))</f>
        <v>94</v>
      </c>
      <c r="H33" s="95">
        <f>IF(EnrlAll!BE34=0,"",ROUND(EnrlAll!BF34/EnrlAll!BE34*100,0))</f>
        <v>92</v>
      </c>
      <c r="I33" s="95">
        <f>IF((EnrlAll!AT34+EnrlAll!BF34)=0,"",ROUND((EnrlAll!AT34+EnrlAll!BF34)/(EnrlAll!BE34+EnrlAll!AS34)*100,0))</f>
        <v>91</v>
      </c>
      <c r="J33" s="95">
        <f>IF(EnrlAll!BH34=0,"",ROUND(EnrlAll!BI34/EnrlAll!BH34*100,0))</f>
        <v>94</v>
      </c>
    </row>
    <row r="34" spans="1:10" s="35" customFormat="1" ht="19.5" customHeight="1">
      <c r="A34" s="25">
        <v>30</v>
      </c>
      <c r="B34" s="26" t="s">
        <v>40</v>
      </c>
      <c r="C34" s="95">
        <f>IF(EnrlAll!V35=0,"",ROUND(EnrlAll!V35/EnrlAll!U35*100,0))</f>
        <v>87</v>
      </c>
      <c r="D34" s="95">
        <f>IF(EnrlAll!AG35=0,"",ROUND(EnrlAll!AH35/EnrlAll!AG35*100,0))</f>
        <v>78</v>
      </c>
      <c r="E34" s="95">
        <f>IF(EnrlAll!AJ35=0,"",ROUND(EnrlAll!AK35/EnrlAll!AJ35*100,0))</f>
        <v>83</v>
      </c>
      <c r="F34" s="95">
        <f>IF(EnrlAll!AS35=0,"",ROUND(EnrlAll!AT35/EnrlAll!AS35*100,0))</f>
        <v>79</v>
      </c>
      <c r="G34" s="95">
        <f>IF(EnrlAll!AV35=0,"",ROUND(EnrlAll!AW35/EnrlAll!AV35*100,0))</f>
        <v>83</v>
      </c>
      <c r="H34" s="95">
        <f>IF(EnrlAll!BE35=0,"",ROUND(EnrlAll!BF35/EnrlAll!BE35*100,0))</f>
        <v>77</v>
      </c>
      <c r="I34" s="95">
        <f>IF((EnrlAll!AT35+EnrlAll!BF35)=0,"",ROUND((EnrlAll!AT35+EnrlAll!BF35)/(EnrlAll!BE35+EnrlAll!AS35)*100,0))</f>
        <v>78</v>
      </c>
      <c r="J34" s="95">
        <f>IF(EnrlAll!BH35=0,"",ROUND(EnrlAll!BI35/EnrlAll!BH35*100,0))</f>
        <v>82</v>
      </c>
    </row>
    <row r="35" spans="1:10" s="35" customFormat="1" ht="19.5" customHeight="1">
      <c r="A35" s="25">
        <v>31</v>
      </c>
      <c r="B35" s="26" t="s">
        <v>41</v>
      </c>
      <c r="C35" s="95">
        <f>IF(EnrlAll!V36=0,"",ROUND(EnrlAll!V36/EnrlAll!U36*100,0))</f>
        <v>89</v>
      </c>
      <c r="D35" s="95">
        <f>IF(EnrlAll!AG36=0,"",ROUND(EnrlAll!AH36/EnrlAll!AG36*100,0))</f>
        <v>86</v>
      </c>
      <c r="E35" s="95">
        <f>IF(EnrlAll!AJ36=0,"",ROUND(EnrlAll!AK36/EnrlAll!AJ36*100,0))</f>
        <v>88</v>
      </c>
      <c r="F35" s="95">
        <f>IF(EnrlAll!AS36=0,"",ROUND(EnrlAll!AT36/EnrlAll!AS36*100,0))</f>
        <v>75</v>
      </c>
      <c r="G35" s="95">
        <f>IF(EnrlAll!AV36=0,"",ROUND(EnrlAll!AW36/EnrlAll!AV36*100,0))</f>
        <v>86</v>
      </c>
      <c r="H35" s="95">
        <f>IF(EnrlAll!BE36=0,"",ROUND(EnrlAll!BF36/EnrlAll!BE36*100,0))</f>
        <v>69</v>
      </c>
      <c r="I35" s="95">
        <f>IF((EnrlAll!AT36+EnrlAll!BF36)=0,"",ROUND((EnrlAll!AT36+EnrlAll!BF36)/(EnrlAll!BE36+EnrlAll!AS36)*100,0))</f>
        <v>73</v>
      </c>
      <c r="J35" s="95">
        <f>IF(EnrlAll!BH36=0,"",ROUND(EnrlAll!BI36/EnrlAll!BH36*100,0))</f>
        <v>85</v>
      </c>
    </row>
    <row r="36" spans="1:10" s="35" customFormat="1" ht="19.5" customHeight="1">
      <c r="A36" s="25">
        <v>32</v>
      </c>
      <c r="B36" s="26" t="s">
        <v>42</v>
      </c>
      <c r="C36" s="95">
        <f>IF(EnrlAll!V37=0,"",ROUND(EnrlAll!V37/EnrlAll!U37*100,0))</f>
        <v>85</v>
      </c>
      <c r="D36" s="95">
        <f>IF(EnrlAll!AG37=0,"",ROUND(EnrlAll!AH37/EnrlAll!AG37*100,0))</f>
        <v>85</v>
      </c>
      <c r="E36" s="95">
        <f>IF(EnrlAll!AJ37=0,"",ROUND(EnrlAll!AK37/EnrlAll!AJ37*100,0))</f>
        <v>85</v>
      </c>
      <c r="F36" s="95">
        <f>IF(EnrlAll!AS37=0,"",ROUND(EnrlAll!AT37/EnrlAll!AS37*100,0))</f>
        <v>91</v>
      </c>
      <c r="G36" s="95">
        <f>IF(EnrlAll!AV37=0,"",ROUND(EnrlAll!AW37/EnrlAll!AV37*100,0))</f>
        <v>86</v>
      </c>
      <c r="H36" s="95">
        <f>IF(EnrlAll!BE37=0,"",ROUND(EnrlAll!BF37/EnrlAll!BE37*100,0))</f>
        <v>81</v>
      </c>
      <c r="I36" s="95">
        <f>IF((EnrlAll!AT37+EnrlAll!BF37)=0,"",ROUND((EnrlAll!AT37+EnrlAll!BF37)/(EnrlAll!BE37+EnrlAll!AS37)*100,0))</f>
        <v>87</v>
      </c>
      <c r="J36" s="95">
        <f>IF(EnrlAll!BH37=0,"",ROUND(EnrlAll!BI37/EnrlAll!BH37*100,0))</f>
        <v>86</v>
      </c>
    </row>
    <row r="37" spans="1:10" s="35" customFormat="1" ht="19.5" customHeight="1">
      <c r="A37" s="25">
        <v>33</v>
      </c>
      <c r="B37" s="26" t="s">
        <v>43</v>
      </c>
      <c r="C37" s="95">
        <f>IF(EnrlAll!V38=0,"",ROUND(EnrlAll!V38/EnrlAll!U38*100,0))</f>
        <v>88</v>
      </c>
      <c r="D37" s="95">
        <f>IF(EnrlAll!AG38=0,"",ROUND(EnrlAll!AH38/EnrlAll!AG38*100,0))</f>
        <v>85</v>
      </c>
      <c r="E37" s="95">
        <f>IF(EnrlAll!AJ38=0,"",ROUND(EnrlAll!AK38/EnrlAll!AJ38*100,0))</f>
        <v>87</v>
      </c>
      <c r="F37" s="95">
        <f>IF(EnrlAll!AS38=0,"",ROUND(EnrlAll!AT38/EnrlAll!AS38*100,0))</f>
        <v>85</v>
      </c>
      <c r="G37" s="95">
        <f>IF(EnrlAll!AV38=0,"",ROUND(EnrlAll!AW38/EnrlAll!AV38*100,0))</f>
        <v>86</v>
      </c>
      <c r="H37" s="95">
        <f>IF(EnrlAll!BE38=0,"",ROUND(EnrlAll!BF38/EnrlAll!BE38*100,0))</f>
        <v>87</v>
      </c>
      <c r="I37" s="95">
        <f>IF((EnrlAll!AT38+EnrlAll!BF38)=0,"",ROUND((EnrlAll!AT38+EnrlAll!BF38)/(EnrlAll!BE38+EnrlAll!AS38)*100,0))</f>
        <v>86</v>
      </c>
      <c r="J37" s="95">
        <f>IF(EnrlAll!BH38=0,"",ROUND(EnrlAll!BI38/EnrlAll!BH38*100,0))</f>
        <v>86</v>
      </c>
    </row>
    <row r="38" spans="1:10" s="35" customFormat="1" ht="19.5" customHeight="1">
      <c r="A38" s="25">
        <v>34</v>
      </c>
      <c r="B38" s="26" t="s">
        <v>44</v>
      </c>
      <c r="C38" s="95">
        <f>IF(EnrlAll!V39=0,"",ROUND(EnrlAll!V39/EnrlAll!U39*100,0))</f>
        <v>94</v>
      </c>
      <c r="D38" s="95">
        <f>IF(EnrlAll!AG39=0,"",ROUND(EnrlAll!AH39/EnrlAll!AG39*100,0))</f>
        <v>118</v>
      </c>
      <c r="E38" s="95">
        <f>IF(EnrlAll!AJ39=0,"",ROUND(EnrlAll!AK39/EnrlAll!AJ39*100,0))</f>
        <v>103</v>
      </c>
      <c r="F38" s="95">
        <f>IF(EnrlAll!AS39=0,"",ROUND(EnrlAll!AT39/EnrlAll!AS39*100,0))</f>
        <v>88</v>
      </c>
      <c r="G38" s="95">
        <f>IF(EnrlAll!AV39=0,"",ROUND(EnrlAll!AW39/EnrlAll!AV39*100,0))</f>
        <v>100</v>
      </c>
      <c r="H38" s="95">
        <f>IF(EnrlAll!BE39=0,"",ROUND(EnrlAll!BF39/EnrlAll!BE39*100,0))</f>
        <v>106</v>
      </c>
      <c r="I38" s="95">
        <f>IF((EnrlAll!AT39+EnrlAll!BF39)=0,"",ROUND((EnrlAll!AT39+EnrlAll!BF39)/(EnrlAll!BE39+EnrlAll!AS39)*100,0))</f>
        <v>96</v>
      </c>
      <c r="J38" s="95">
        <f>IF(EnrlAll!BH39=0,"",ROUND(EnrlAll!BI39/EnrlAll!BH39*100,0))</f>
        <v>101</v>
      </c>
    </row>
    <row r="39" spans="1:10" s="35" customFormat="1" ht="19.5" customHeight="1">
      <c r="A39" s="25">
        <v>35</v>
      </c>
      <c r="B39" s="26" t="s">
        <v>45</v>
      </c>
      <c r="C39" s="95">
        <f>IF(EnrlAll!V40=0,"",ROUND(EnrlAll!V40/EnrlAll!U40*100,0))</f>
        <v>94</v>
      </c>
      <c r="D39" s="95">
        <f>IF(EnrlAll!AG40=0,"",ROUND(EnrlAll!AH40/EnrlAll!AG40*100,0))</f>
        <v>95</v>
      </c>
      <c r="E39" s="95">
        <f>IF(EnrlAll!AJ40=0,"",ROUND(EnrlAll!AK40/EnrlAll!AJ40*100,0))</f>
        <v>94</v>
      </c>
      <c r="F39" s="95">
        <f>IF(EnrlAll!AS40=0,"",ROUND(EnrlAll!AT40/EnrlAll!AS40*100,0))</f>
        <v>95</v>
      </c>
      <c r="G39" s="95">
        <f>IF(EnrlAll!AV40=0,"",ROUND(EnrlAll!AW40/EnrlAll!AV40*100,0))</f>
        <v>95</v>
      </c>
      <c r="H39" s="95">
        <f>IF(EnrlAll!BE40=0,"",ROUND(EnrlAll!BF40/EnrlAll!BE40*100,0))</f>
        <v>118</v>
      </c>
      <c r="I39" s="95">
        <f>IF((EnrlAll!AT40+EnrlAll!BF40)=0,"",ROUND((EnrlAll!AT40+EnrlAll!BF40)/(EnrlAll!BE40+EnrlAll!AS40)*100,0))</f>
        <v>103</v>
      </c>
      <c r="J39" s="95">
        <f>IF(EnrlAll!BH40=0,"",ROUND(EnrlAll!BI40/EnrlAll!BH40*100,0))</f>
        <v>97</v>
      </c>
    </row>
    <row r="40" spans="1:10" s="87" customFormat="1" ht="19.5" customHeight="1">
      <c r="A40" s="286" t="s">
        <v>46</v>
      </c>
      <c r="B40" s="286"/>
      <c r="C40" s="97">
        <f>IF(EnrlAll!V41=0,"",ROUND(EnrlAll!V41/EnrlAll!U41*100,0))</f>
        <v>93</v>
      </c>
      <c r="D40" s="97">
        <f>IF(EnrlAll!AG41=0,"",ROUND(EnrlAll!AH41/EnrlAll!AG41*100,0))</f>
        <v>90</v>
      </c>
      <c r="E40" s="97">
        <f>IF(EnrlAll!AJ41=0,"",ROUND(EnrlAll!AK41/EnrlAll!AJ41*100,0))</f>
        <v>92</v>
      </c>
      <c r="F40" s="97">
        <f>IF(EnrlAll!AS41=0,"",ROUND(EnrlAll!AT41/EnrlAll!AS41*100,0))</f>
        <v>84</v>
      </c>
      <c r="G40" s="97">
        <f>IF(EnrlAll!AV41=0,"",ROUND(EnrlAll!AW41/EnrlAll!AV41*100,0))</f>
        <v>91</v>
      </c>
      <c r="H40" s="97">
        <f>IF(EnrlAll!BE41=0,"",ROUND(EnrlAll!BF41/EnrlAll!BE41*100,0))</f>
        <v>81</v>
      </c>
      <c r="I40" s="97">
        <f>IF((EnrlAll!AT41+EnrlAll!BF41)=0,"",ROUND((EnrlAll!AT41+EnrlAll!BF41)/(EnrlAll!BE41+EnrlAll!AS41)*100,0))</f>
        <v>83</v>
      </c>
      <c r="J40" s="97">
        <f>IF(EnrlAll!BH41=0,"",ROUND(EnrlAll!BI41/EnrlAll!BH41*100,0))</f>
        <v>90</v>
      </c>
    </row>
  </sheetData>
  <mergeCells count="1">
    <mergeCell ref="A40:B40"/>
  </mergeCells>
  <printOptions horizontalCentered="1"/>
  <pageMargins left="0.2" right="0.22" top="0.44" bottom="0.59" header="0.2" footer="0.33"/>
  <pageSetup paperSize="9" scale="98" firstPageNumber="63" orientation="portrait" useFirstPageNumber="1" r:id="rId1"/>
  <headerFooter alignWithMargins="0">
    <oddFooter>&amp;LSTATISTICS OF SCHOOL EDUCATION 2011-12&amp;R&amp;P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J40"/>
  <sheetViews>
    <sheetView view="pageBreakPreview" topLeftCell="A4" zoomScaleSheetLayoutView="100" workbookViewId="0">
      <selection activeCell="K16" sqref="K16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3" width="9.7109375" style="5" customWidth="1"/>
    <col min="4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31" customFormat="1" ht="24.75" customHeight="1">
      <c r="A1" s="29"/>
      <c r="B1" s="30"/>
      <c r="C1" s="23" t="s">
        <v>145</v>
      </c>
      <c r="D1" s="23"/>
      <c r="E1" s="23"/>
      <c r="F1" s="23"/>
      <c r="G1" s="23"/>
      <c r="H1" s="23"/>
      <c r="I1" s="23"/>
      <c r="J1" s="23"/>
    </row>
    <row r="2" spans="1:10" ht="15.75" customHeight="1">
      <c r="A2" s="24"/>
      <c r="B2" s="24"/>
      <c r="C2" s="141" t="s">
        <v>79</v>
      </c>
      <c r="D2" s="32"/>
      <c r="E2" s="32"/>
      <c r="F2" s="32"/>
      <c r="G2" s="32"/>
      <c r="H2" s="32"/>
      <c r="I2" s="32"/>
      <c r="J2" s="32"/>
    </row>
    <row r="3" spans="1:10" s="33" customFormat="1" ht="37.5" customHeight="1">
      <c r="A3" s="98" t="s">
        <v>67</v>
      </c>
      <c r="B3" s="98" t="s">
        <v>65</v>
      </c>
      <c r="C3" s="99" t="s">
        <v>118</v>
      </c>
      <c r="D3" s="99" t="s">
        <v>112</v>
      </c>
      <c r="E3" s="99" t="s">
        <v>119</v>
      </c>
      <c r="F3" s="99" t="s">
        <v>113</v>
      </c>
      <c r="G3" s="99" t="s">
        <v>114</v>
      </c>
      <c r="H3" s="99" t="s">
        <v>115</v>
      </c>
      <c r="I3" s="99" t="s">
        <v>116</v>
      </c>
      <c r="J3" s="98" t="s">
        <v>117</v>
      </c>
    </row>
    <row r="4" spans="1:10" s="34" customFormat="1" ht="13.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</row>
    <row r="5" spans="1:10" s="35" customFormat="1" ht="19.5" customHeight="1">
      <c r="A5" s="25">
        <v>1</v>
      </c>
      <c r="B5" s="26" t="s">
        <v>16</v>
      </c>
      <c r="C5" s="95">
        <f>IF(EnrlSC!V6=0,"",ROUND(EnrlSC!V6/EnrlSC!U6*100,0))</f>
        <v>97</v>
      </c>
      <c r="D5" s="95">
        <f>IF(EnrlSC!AG6=0,"",ROUND(EnrlSC!AH6/EnrlSC!AG6*100,0))</f>
        <v>99</v>
      </c>
      <c r="E5" s="95">
        <f>IF(EnrlSC!AJ6=0,"",ROUND(EnrlSC!AK6/EnrlSC!AJ6*100,0))</f>
        <v>98</v>
      </c>
      <c r="F5" s="95">
        <f>IF(EnrlSC!AS6=0,"",ROUND(EnrlSC!AT6/EnrlSC!AS6*100,0))</f>
        <v>99</v>
      </c>
      <c r="G5" s="95">
        <f>IF(EnrlSC!AV6=0,"",ROUND(EnrlSC!AW6/EnrlSC!AV6*100,0))</f>
        <v>98</v>
      </c>
      <c r="H5" s="95">
        <f>IF(EnrlSC!BE6=0,"",ROUND(EnrlSC!BF6/EnrlSC!BE6*100,0))</f>
        <v>92</v>
      </c>
      <c r="I5" s="95">
        <f>IF((EnrlSC!AT6+EnrlSC!BF6)=0,"",ROUND((EnrlSC!AT6+EnrlSC!BF6)/(EnrlSC!BE6+EnrlSC!AS6)*100,0))</f>
        <v>96</v>
      </c>
      <c r="J5" s="95">
        <f>IF(EnrlSC!BH6=0,"",ROUND(EnrlSC!BI6/EnrlSC!BH6*100,0))</f>
        <v>97</v>
      </c>
    </row>
    <row r="6" spans="1:10" s="35" customFormat="1" ht="19.5" customHeight="1">
      <c r="A6" s="25">
        <v>2</v>
      </c>
      <c r="B6" s="26" t="s">
        <v>17</v>
      </c>
      <c r="C6" s="95" t="str">
        <f>IF(EnrlSC!V7=0,"",ROUND(EnrlSC!V7/EnrlSC!U7*100,0))</f>
        <v/>
      </c>
      <c r="D6" s="95" t="str">
        <f>IF(EnrlSC!AG7=0,"",ROUND(EnrlSC!AH7/EnrlSC!AG7*100,0))</f>
        <v/>
      </c>
      <c r="E6" s="95" t="str">
        <f>IF(EnrlSC!AJ7=0,"",ROUND(EnrlSC!AK7/EnrlSC!AJ7*100,0))</f>
        <v/>
      </c>
      <c r="F6" s="95" t="str">
        <f>IF(EnrlSC!AS7=0,"",ROUND(EnrlSC!AT7/EnrlSC!AS7*100,0))</f>
        <v/>
      </c>
      <c r="G6" s="95" t="str">
        <f>IF(EnrlSC!AV7=0,"",ROUND(EnrlSC!AW7/EnrlSC!AV7*100,0))</f>
        <v/>
      </c>
      <c r="H6" s="95" t="str">
        <f>IF(EnrlSC!BE7=0,"",ROUND(EnrlSC!BF7/EnrlSC!BE7*100,0))</f>
        <v/>
      </c>
      <c r="I6" s="95" t="str">
        <f>IF((EnrlSC!AT7+EnrlSC!BF7)=0,"",ROUND((EnrlSC!AT7+EnrlSC!BF7)/(EnrlSC!BE7+EnrlSC!AS7)*100,0))</f>
        <v/>
      </c>
      <c r="J6" s="95" t="str">
        <f>IF(EnrlSC!BH7=0,"",ROUND(EnrlSC!BI7/EnrlSC!BH7*100,0))</f>
        <v/>
      </c>
    </row>
    <row r="7" spans="1:10" s="35" customFormat="1" ht="19.5" customHeight="1">
      <c r="A7" s="25">
        <v>3</v>
      </c>
      <c r="B7" s="26" t="s">
        <v>48</v>
      </c>
      <c r="C7" s="95">
        <f>IF(EnrlSC!V8=0,"",ROUND(EnrlSC!V8/EnrlSC!U8*100,0))</f>
        <v>98</v>
      </c>
      <c r="D7" s="95">
        <f>IF(EnrlSC!AG8=0,"",ROUND(EnrlSC!AH8/EnrlSC!AG8*100,0))</f>
        <v>96</v>
      </c>
      <c r="E7" s="95">
        <f>IF(EnrlSC!AJ8=0,"",ROUND(EnrlSC!AK8/EnrlSC!AJ8*100,0))</f>
        <v>97</v>
      </c>
      <c r="F7" s="95">
        <f>IF(EnrlSC!AS8=0,"",ROUND(EnrlSC!AT8/EnrlSC!AS8*100,0))</f>
        <v>111</v>
      </c>
      <c r="G7" s="95">
        <f>IF(EnrlSC!AV8=0,"",ROUND(EnrlSC!AW8/EnrlSC!AV8*100,0))</f>
        <v>100</v>
      </c>
      <c r="H7" s="95">
        <f>IF(EnrlSC!BE8=0,"",ROUND(EnrlSC!BF8/EnrlSC!BE8*100,0))</f>
        <v>95</v>
      </c>
      <c r="I7" s="95">
        <f>IF((EnrlSC!AT8+EnrlSC!BF8)=0,"",ROUND((EnrlSC!AT8+EnrlSC!BF8)/(EnrlSC!BE8+EnrlSC!AS8)*100,0))</f>
        <v>108</v>
      </c>
      <c r="J7" s="95">
        <f>IF(EnrlSC!BH8=0,"",ROUND(EnrlSC!BI8/EnrlSC!BH8*100,0))</f>
        <v>99</v>
      </c>
    </row>
    <row r="8" spans="1:10" s="35" customFormat="1" ht="19.5" customHeight="1">
      <c r="A8" s="25">
        <v>4</v>
      </c>
      <c r="B8" s="26" t="s">
        <v>18</v>
      </c>
      <c r="C8" s="95">
        <f>IF(EnrlSC!V9=0,"",ROUND(EnrlSC!V9/EnrlSC!U9*100,0))</f>
        <v>83</v>
      </c>
      <c r="D8" s="95">
        <f>IF(EnrlSC!AG9=0,"",ROUND(EnrlSC!AH9/EnrlSC!AG9*100,0))</f>
        <v>79</v>
      </c>
      <c r="E8" s="95">
        <f>IF(EnrlSC!AJ9=0,"",ROUND(EnrlSC!AK9/EnrlSC!AJ9*100,0))</f>
        <v>82</v>
      </c>
      <c r="F8" s="95">
        <f>IF(EnrlSC!AS9=0,"",ROUND(EnrlSC!AT9/EnrlSC!AS9*100,0))</f>
        <v>69</v>
      </c>
      <c r="G8" s="95">
        <f>IF(EnrlSC!AV9=0,"",ROUND(EnrlSC!AW9/EnrlSC!AV9*100,0))</f>
        <v>81</v>
      </c>
      <c r="H8" s="95">
        <f>IF(EnrlSC!BE9=0,"",ROUND(EnrlSC!BF9/EnrlSC!BE9*100,0))</f>
        <v>73</v>
      </c>
      <c r="I8" s="95">
        <f>IF((EnrlSC!AT9+EnrlSC!BF9)=0,"",ROUND((EnrlSC!AT9+EnrlSC!BF9)/(EnrlSC!BE9+EnrlSC!AS9)*100,0))</f>
        <v>70</v>
      </c>
      <c r="J8" s="95">
        <f>IF(EnrlSC!BH9=0,"",ROUND(EnrlSC!BI9/EnrlSC!BH9*100,0))</f>
        <v>81</v>
      </c>
    </row>
    <row r="9" spans="1:10" s="35" customFormat="1" ht="19.5" customHeight="1">
      <c r="A9" s="25">
        <v>5</v>
      </c>
      <c r="B9" s="28" t="s">
        <v>19</v>
      </c>
      <c r="C9" s="95">
        <f>IF(EnrlSC!V10=0,"",ROUND(EnrlSC!V10/EnrlSC!U10*100,0))</f>
        <v>93</v>
      </c>
      <c r="D9" s="95">
        <f>IF(EnrlSC!AG10=0,"",ROUND(EnrlSC!AH10/EnrlSC!AG10*100,0))</f>
        <v>89</v>
      </c>
      <c r="E9" s="95">
        <f>IF(EnrlSC!AJ10=0,"",ROUND(EnrlSC!AK10/EnrlSC!AJ10*100,0))</f>
        <v>92</v>
      </c>
      <c r="F9" s="95">
        <f>IF(EnrlSC!AS10=0,"",ROUND(EnrlSC!AT10/EnrlSC!AS10*100,0))</f>
        <v>96</v>
      </c>
      <c r="G9" s="95">
        <f>IF(EnrlSC!AV10=0,"",ROUND(EnrlSC!AW10/EnrlSC!AV10*100,0))</f>
        <v>92</v>
      </c>
      <c r="H9" s="95">
        <f>IF(EnrlSC!BE10=0,"",ROUND(EnrlSC!BF10/EnrlSC!BE10*100,0))</f>
        <v>84</v>
      </c>
      <c r="I9" s="95">
        <f>IF((EnrlSC!AT10+EnrlSC!BF10)=0,"",ROUND((EnrlSC!AT10+EnrlSC!BF10)/(EnrlSC!BE10+EnrlSC!AS10)*100,0))</f>
        <v>92</v>
      </c>
      <c r="J9" s="95">
        <f>IF(EnrlSC!BH10=0,"",ROUND(EnrlSC!BI10/EnrlSC!BH10*100,0))</f>
        <v>92</v>
      </c>
    </row>
    <row r="10" spans="1:10" s="35" customFormat="1" ht="19.5" customHeight="1">
      <c r="A10" s="25">
        <v>6</v>
      </c>
      <c r="B10" s="26" t="s">
        <v>20</v>
      </c>
      <c r="C10" s="95">
        <f>IF(EnrlSC!V11=0,"",ROUND(EnrlSC!V11/EnrlSC!U11*100,0))</f>
        <v>68</v>
      </c>
      <c r="D10" s="95">
        <f>IF(EnrlSC!AG11=0,"",ROUND(EnrlSC!AH11/EnrlSC!AG11*100,0))</f>
        <v>89</v>
      </c>
      <c r="E10" s="95">
        <f>IF(EnrlSC!AJ11=0,"",ROUND(EnrlSC!AK11/EnrlSC!AJ11*100,0))</f>
        <v>75</v>
      </c>
      <c r="F10" s="95">
        <f>IF(EnrlSC!AS11=0,"",ROUND(EnrlSC!AT11/EnrlSC!AS11*100,0))</f>
        <v>98</v>
      </c>
      <c r="G10" s="95">
        <f>IF(EnrlSC!AV11=0,"",ROUND(EnrlSC!AW11/EnrlSC!AV11*100,0))</f>
        <v>78</v>
      </c>
      <c r="H10" s="95">
        <f>IF(EnrlSC!BE11=0,"",ROUND(EnrlSC!BF11/EnrlSC!BE11*100,0))</f>
        <v>104</v>
      </c>
      <c r="I10" s="95">
        <f>IF((EnrlSC!AT11+EnrlSC!BF11)=0,"",ROUND((EnrlSC!AT11+EnrlSC!BF11)/(EnrlSC!BE11+EnrlSC!AS11)*100,0))</f>
        <v>101</v>
      </c>
      <c r="J10" s="95">
        <f>IF(EnrlSC!BH11=0,"",ROUND(EnrlSC!BI11/EnrlSC!BH11*100,0))</f>
        <v>81</v>
      </c>
    </row>
    <row r="11" spans="1:10" s="35" customFormat="1" ht="19.5" customHeight="1">
      <c r="A11" s="25">
        <v>7</v>
      </c>
      <c r="B11" s="26" t="s">
        <v>21</v>
      </c>
      <c r="C11" s="95">
        <f>IF(EnrlSC!V12=0,"",ROUND(EnrlSC!V12/EnrlSC!U12*100,0))</f>
        <v>97</v>
      </c>
      <c r="D11" s="95">
        <f>IF(EnrlSC!AG12=0,"",ROUND(EnrlSC!AH12/EnrlSC!AG12*100,0))</f>
        <v>83</v>
      </c>
      <c r="E11" s="95">
        <f>IF(EnrlSC!AJ12=0,"",ROUND(EnrlSC!AK12/EnrlSC!AJ12*100,0))</f>
        <v>93</v>
      </c>
      <c r="F11" s="95">
        <f>IF(EnrlSC!AS12=0,"",ROUND(EnrlSC!AT12/EnrlSC!AS12*100,0))</f>
        <v>67</v>
      </c>
      <c r="G11" s="95">
        <f>IF(EnrlSC!AV12=0,"",ROUND(EnrlSC!AW12/EnrlSC!AV12*100,0))</f>
        <v>88</v>
      </c>
      <c r="H11" s="95">
        <f>IF(EnrlSC!BE12=0,"",ROUND(EnrlSC!BF12/EnrlSC!BE12*100,0))</f>
        <v>71</v>
      </c>
      <c r="I11" s="95">
        <f>IF((EnrlSC!AT12+EnrlSC!BF12)=0,"",ROUND((EnrlSC!AT12+EnrlSC!BF12)/(EnrlSC!BE12+EnrlSC!AS12)*100,0))</f>
        <v>68</v>
      </c>
      <c r="J11" s="95">
        <f>IF(EnrlSC!BH12=0,"",ROUND(EnrlSC!BI12/EnrlSC!BH12*100,0))</f>
        <v>86</v>
      </c>
    </row>
    <row r="12" spans="1:10" s="35" customFormat="1" ht="19.5" customHeight="1">
      <c r="A12" s="25">
        <v>8</v>
      </c>
      <c r="B12" s="26" t="s">
        <v>22</v>
      </c>
      <c r="C12" s="95">
        <f>IF(EnrlSC!V13=0,"",ROUND(EnrlSC!V13/EnrlSC!U13*100,0))</f>
        <v>89</v>
      </c>
      <c r="D12" s="95">
        <f>IF(EnrlSC!AG13=0,"",ROUND(EnrlSC!AH13/EnrlSC!AG13*100,0))</f>
        <v>94</v>
      </c>
      <c r="E12" s="95">
        <f>IF(EnrlSC!AJ13=0,"",ROUND(EnrlSC!AK13/EnrlSC!AJ13*100,0))</f>
        <v>91</v>
      </c>
      <c r="F12" s="95">
        <f>IF(EnrlSC!AS13=0,"",ROUND(EnrlSC!AT13/EnrlSC!AS13*100,0))</f>
        <v>90</v>
      </c>
      <c r="G12" s="95">
        <f>IF(EnrlSC!AV13=0,"",ROUND(EnrlSC!AW13/EnrlSC!AV13*100,0))</f>
        <v>91</v>
      </c>
      <c r="H12" s="95">
        <f>IF(EnrlSC!BE13=0,"",ROUND(EnrlSC!BF13/EnrlSC!BE13*100,0))</f>
        <v>84</v>
      </c>
      <c r="I12" s="95">
        <f>IF((EnrlSC!AT13+EnrlSC!BF13)=0,"",ROUND((EnrlSC!AT13+EnrlSC!BF13)/(EnrlSC!BE13+EnrlSC!AS13)*100,0))</f>
        <v>87</v>
      </c>
      <c r="J12" s="95">
        <f>IF(EnrlSC!BH13=0,"",ROUND(EnrlSC!BI13/EnrlSC!BH13*100,0))</f>
        <v>90</v>
      </c>
    </row>
    <row r="13" spans="1:10" s="35" customFormat="1" ht="19.5" customHeight="1">
      <c r="A13" s="25">
        <v>9</v>
      </c>
      <c r="B13" s="26" t="s">
        <v>23</v>
      </c>
      <c r="C13" s="95">
        <f>IF(EnrlSC!V14=0,"",ROUND(EnrlSC!V14/EnrlSC!U14*100,0))</f>
        <v>95</v>
      </c>
      <c r="D13" s="95">
        <f>IF(EnrlSC!AG14=0,"",ROUND(EnrlSC!AH14/EnrlSC!AG14*100,0))</f>
        <v>93</v>
      </c>
      <c r="E13" s="95">
        <f>IF(EnrlSC!AJ14=0,"",ROUND(EnrlSC!AK14/EnrlSC!AJ14*100,0))</f>
        <v>94</v>
      </c>
      <c r="F13" s="95">
        <f>IF(EnrlSC!AS14=0,"",ROUND(EnrlSC!AT14/EnrlSC!AS14*100,0))</f>
        <v>93</v>
      </c>
      <c r="G13" s="95">
        <f>IF(EnrlSC!AV14=0,"",ROUND(EnrlSC!AW14/EnrlSC!AV14*100,0))</f>
        <v>94</v>
      </c>
      <c r="H13" s="95">
        <f>IF(EnrlSC!BE14=0,"",ROUND(EnrlSC!BF14/EnrlSC!BE14*100,0))</f>
        <v>91</v>
      </c>
      <c r="I13" s="95">
        <f>IF((EnrlSC!AT14+EnrlSC!BF14)=0,"",ROUND((EnrlSC!AT14+EnrlSC!BF14)/(EnrlSC!BE14+EnrlSC!AS14)*100,0))</f>
        <v>92</v>
      </c>
      <c r="J13" s="95">
        <f>IF(EnrlSC!BH14=0,"",ROUND(EnrlSC!BI14/EnrlSC!BH14*100,0))</f>
        <v>94</v>
      </c>
    </row>
    <row r="14" spans="1:10" s="35" customFormat="1" ht="19.5" customHeight="1">
      <c r="A14" s="25">
        <v>10</v>
      </c>
      <c r="B14" s="26" t="s">
        <v>24</v>
      </c>
      <c r="C14" s="95">
        <f>IF(EnrlSC!V15=0,"",ROUND(EnrlSC!V15/EnrlSC!U15*100,0))</f>
        <v>86</v>
      </c>
      <c r="D14" s="95">
        <f>IF(EnrlSC!AG15=0,"",ROUND(EnrlSC!AH15/EnrlSC!AG15*100,0))</f>
        <v>91</v>
      </c>
      <c r="E14" s="95">
        <f>IF(EnrlSC!AJ15=0,"",ROUND(EnrlSC!AK15/EnrlSC!AJ15*100,0))</f>
        <v>88</v>
      </c>
      <c r="F14" s="95">
        <f>IF(EnrlSC!AS15=0,"",ROUND(EnrlSC!AT15/EnrlSC!AS15*100,0))</f>
        <v>85</v>
      </c>
      <c r="G14" s="95">
        <f>IF(EnrlSC!AV15=0,"",ROUND(EnrlSC!AW15/EnrlSC!AV15*100,0))</f>
        <v>88</v>
      </c>
      <c r="H14" s="95">
        <f>IF(EnrlSC!BE15=0,"",ROUND(EnrlSC!BF15/EnrlSC!BE15*100,0))</f>
        <v>83</v>
      </c>
      <c r="I14" s="95">
        <f>IF((EnrlSC!AT15+EnrlSC!BF15)=0,"",ROUND((EnrlSC!AT15+EnrlSC!BF15)/(EnrlSC!BE15+EnrlSC!AS15)*100,0))</f>
        <v>84</v>
      </c>
      <c r="J14" s="95">
        <f>IF(EnrlSC!BH15=0,"",ROUND(EnrlSC!BI15/EnrlSC!BH15*100,0))</f>
        <v>87</v>
      </c>
    </row>
    <row r="15" spans="1:10" s="35" customFormat="1" ht="19.5" customHeight="1">
      <c r="A15" s="25">
        <v>11</v>
      </c>
      <c r="B15" s="26" t="s">
        <v>52</v>
      </c>
      <c r="C15" s="95">
        <f>IF(EnrlSC!V16=0,"",ROUND(EnrlSC!V16/EnrlSC!U16*100,0))</f>
        <v>96</v>
      </c>
      <c r="D15" s="95">
        <f>IF(EnrlSC!AG16=0,"",ROUND(EnrlSC!AH16/EnrlSC!AG16*100,0))</f>
        <v>90</v>
      </c>
      <c r="E15" s="95">
        <f>IF(EnrlSC!AJ16=0,"",ROUND(EnrlSC!AK16/EnrlSC!AJ16*100,0))</f>
        <v>94</v>
      </c>
      <c r="F15" s="95">
        <f>IF(EnrlSC!AS16=0,"",ROUND(EnrlSC!AT16/EnrlSC!AS16*100,0))</f>
        <v>82</v>
      </c>
      <c r="G15" s="95">
        <f>IF(EnrlSC!AV16=0,"",ROUND(EnrlSC!AW16/EnrlSC!AV16*100,0))</f>
        <v>93</v>
      </c>
      <c r="H15" s="95">
        <f>IF(EnrlSC!BE16=0,"",ROUND(EnrlSC!BF16/EnrlSC!BE16*100,0))</f>
        <v>96</v>
      </c>
      <c r="I15" s="95">
        <f>IF((EnrlSC!AT16+EnrlSC!BF16)=0,"",ROUND((EnrlSC!AT16+EnrlSC!BF16)/(EnrlSC!BE16+EnrlSC!AS16)*100,0))</f>
        <v>85</v>
      </c>
      <c r="J15" s="95">
        <f>IF(EnrlSC!BH16=0,"",ROUND(EnrlSC!BI16/EnrlSC!BH16*100,0))</f>
        <v>93</v>
      </c>
    </row>
    <row r="16" spans="1:10" s="35" customFormat="1" ht="19.5" customHeight="1">
      <c r="A16" s="25">
        <v>12</v>
      </c>
      <c r="B16" s="26" t="s">
        <v>25</v>
      </c>
      <c r="C16" s="95">
        <f>IF(EnrlSC!V17=0,"",ROUND(EnrlSC!V17/EnrlSC!U17*100,0))</f>
        <v>93</v>
      </c>
      <c r="D16" s="95">
        <f>IF(EnrlSC!AG17=0,"",ROUND(EnrlSC!AH17/EnrlSC!AG17*100,0))</f>
        <v>90</v>
      </c>
      <c r="E16" s="95">
        <f>IF(EnrlSC!AJ17=0,"",ROUND(EnrlSC!AK17/EnrlSC!AJ17*100,0))</f>
        <v>92</v>
      </c>
      <c r="F16" s="95">
        <f>IF(EnrlSC!AS17=0,"",ROUND(EnrlSC!AT17/EnrlSC!AS17*100,0))</f>
        <v>90</v>
      </c>
      <c r="G16" s="95">
        <f>IF(EnrlSC!AV17=0,"",ROUND(EnrlSC!AW17/EnrlSC!AV17*100,0))</f>
        <v>92</v>
      </c>
      <c r="H16" s="95">
        <f>IF(EnrlSC!BE17=0,"",ROUND(EnrlSC!BF17/EnrlSC!BE17*100,0))</f>
        <v>90</v>
      </c>
      <c r="I16" s="95">
        <f>IF((EnrlSC!AT17+EnrlSC!BF17)=0,"",ROUND((EnrlSC!AT17+EnrlSC!BF17)/(EnrlSC!BE17+EnrlSC!AS17)*100,0))</f>
        <v>90</v>
      </c>
      <c r="J16" s="95">
        <f>IF(EnrlSC!BH17=0,"",ROUND(EnrlSC!BI17/EnrlSC!BH17*100,0))</f>
        <v>92</v>
      </c>
    </row>
    <row r="17" spans="1:10" s="35" customFormat="1" ht="19.5" customHeight="1">
      <c r="A17" s="25">
        <v>13</v>
      </c>
      <c r="B17" s="26" t="s">
        <v>26</v>
      </c>
      <c r="C17" s="95">
        <f>IF(EnrlSC!V18=0,"",ROUND(EnrlSC!V18/EnrlSC!U18*100,0))</f>
        <v>94</v>
      </c>
      <c r="D17" s="95">
        <f>IF(EnrlSC!AG18=0,"",ROUND(EnrlSC!AH18/EnrlSC!AG18*100,0))</f>
        <v>92</v>
      </c>
      <c r="E17" s="95">
        <f>IF(EnrlSC!AJ18=0,"",ROUND(EnrlSC!AK18/EnrlSC!AJ18*100,0))</f>
        <v>93</v>
      </c>
      <c r="F17" s="95">
        <f>IF(EnrlSC!AS18=0,"",ROUND(EnrlSC!AT18/EnrlSC!AS18*100,0))</f>
        <v>95</v>
      </c>
      <c r="G17" s="95">
        <f>IF(EnrlSC!AV18=0,"",ROUND(EnrlSC!AW18/EnrlSC!AV18*100,0))</f>
        <v>94</v>
      </c>
      <c r="H17" s="95">
        <f>IF(EnrlSC!BE18=0,"",ROUND(EnrlSC!BF18/EnrlSC!BE18*100,0))</f>
        <v>115</v>
      </c>
      <c r="I17" s="95">
        <f>IF((EnrlSC!AT18+EnrlSC!BF18)=0,"",ROUND((EnrlSC!AT18+EnrlSC!BF18)/(EnrlSC!BE18+EnrlSC!AS18)*100,0))</f>
        <v>102</v>
      </c>
      <c r="J17" s="95">
        <f>IF(EnrlSC!BH18=0,"",ROUND(EnrlSC!BI18/EnrlSC!BH18*100,0))</f>
        <v>96</v>
      </c>
    </row>
    <row r="18" spans="1:10" s="35" customFormat="1" ht="19.5" customHeight="1">
      <c r="A18" s="25">
        <v>14</v>
      </c>
      <c r="B18" s="26" t="s">
        <v>27</v>
      </c>
      <c r="C18" s="95">
        <f>IF(EnrlSC!V19=0,"",ROUND(EnrlSC!V19/EnrlSC!U19*100,0))</f>
        <v>97</v>
      </c>
      <c r="D18" s="95">
        <f>IF(EnrlSC!AG19=0,"",ROUND(EnrlSC!AH19/EnrlSC!AG19*100,0))</f>
        <v>101</v>
      </c>
      <c r="E18" s="95">
        <f>IF(EnrlSC!AJ19=0,"",ROUND(EnrlSC!AK19/EnrlSC!AJ19*100,0))</f>
        <v>98</v>
      </c>
      <c r="F18" s="95">
        <f>IF(EnrlSC!AS19=0,"",ROUND(EnrlSC!AT19/EnrlSC!AS19*100,0))</f>
        <v>66</v>
      </c>
      <c r="G18" s="95">
        <f>IF(EnrlSC!AV19=0,"",ROUND(EnrlSC!AW19/EnrlSC!AV19*100,0))</f>
        <v>93</v>
      </c>
      <c r="H18" s="95">
        <f>IF(EnrlSC!BE19=0,"",ROUND(EnrlSC!BF19/EnrlSC!BE19*100,0))</f>
        <v>72</v>
      </c>
      <c r="I18" s="95">
        <f>IF((EnrlSC!AT19+EnrlSC!BF19)=0,"",ROUND((EnrlSC!AT19+EnrlSC!BF19)/(EnrlSC!BE19+EnrlSC!AS19)*100,0))</f>
        <v>68</v>
      </c>
      <c r="J18" s="95">
        <f>IF(EnrlSC!BH19=0,"",ROUND(EnrlSC!BI19/EnrlSC!BH19*100,0))</f>
        <v>91</v>
      </c>
    </row>
    <row r="19" spans="1:10" s="35" customFormat="1" ht="19.5" customHeight="1">
      <c r="A19" s="25">
        <v>15</v>
      </c>
      <c r="B19" s="26" t="s">
        <v>28</v>
      </c>
      <c r="C19" s="95">
        <f>IF(EnrlSC!V20=0,"",ROUND(EnrlSC!V20/EnrlSC!U20*100,0))</f>
        <v>93</v>
      </c>
      <c r="D19" s="95">
        <f>IF(EnrlSC!AG20=0,"",ROUND(EnrlSC!AH20/EnrlSC!AG20*100,0))</f>
        <v>90</v>
      </c>
      <c r="E19" s="95">
        <f>IF(EnrlSC!AJ20=0,"",ROUND(EnrlSC!AK20/EnrlSC!AJ20*100,0))</f>
        <v>92</v>
      </c>
      <c r="F19" s="95">
        <f>IF(EnrlSC!AS20=0,"",ROUND(EnrlSC!AT20/EnrlSC!AS20*100,0))</f>
        <v>84</v>
      </c>
      <c r="G19" s="95">
        <f>IF(EnrlSC!AV20=0,"",ROUND(EnrlSC!AW20/EnrlSC!AV20*100,0))</f>
        <v>91</v>
      </c>
      <c r="H19" s="95">
        <f>IF(EnrlSC!BE20=0,"",ROUND(EnrlSC!BF20/EnrlSC!BE20*100,0))</f>
        <v>78</v>
      </c>
      <c r="I19" s="95">
        <f>IF((EnrlSC!AT20+EnrlSC!BF20)=0,"",ROUND((EnrlSC!AT20+EnrlSC!BF20)/(EnrlSC!BE20+EnrlSC!AS20)*100,0))</f>
        <v>81</v>
      </c>
      <c r="J19" s="95">
        <f>IF(EnrlSC!BH20=0,"",ROUND(EnrlSC!BI20/EnrlSC!BH20*100,0))</f>
        <v>89</v>
      </c>
    </row>
    <row r="20" spans="1:10" s="35" customFormat="1" ht="19.5" customHeight="1">
      <c r="A20" s="25">
        <v>16</v>
      </c>
      <c r="B20" s="26" t="s">
        <v>29</v>
      </c>
      <c r="C20" s="95">
        <f>IF(EnrlSC!V21=0,"",ROUND(EnrlSC!V21/EnrlSC!U21*100,0))</f>
        <v>100</v>
      </c>
      <c r="D20" s="95">
        <f>IF(EnrlSC!AG21=0,"",ROUND(EnrlSC!AH21/EnrlSC!AG21*100,0))</f>
        <v>109</v>
      </c>
      <c r="E20" s="95">
        <f>IF(EnrlSC!AJ21=0,"",ROUND(EnrlSC!AK21/EnrlSC!AJ21*100,0))</f>
        <v>103</v>
      </c>
      <c r="F20" s="95">
        <f>IF(EnrlSC!AS21=0,"",ROUND(EnrlSC!AT21/EnrlSC!AS21*100,0))</f>
        <v>91</v>
      </c>
      <c r="G20" s="95">
        <f>IF(EnrlSC!AV21=0,"",ROUND(EnrlSC!AW21/EnrlSC!AV21*100,0))</f>
        <v>102</v>
      </c>
      <c r="H20" s="95">
        <f>IF(EnrlSC!BE21=0,"",ROUND(EnrlSC!BF21/EnrlSC!BE21*100,0))</f>
        <v>98</v>
      </c>
      <c r="I20" s="95">
        <f>IF((EnrlSC!AT21+EnrlSC!BF21)=0,"",ROUND((EnrlSC!AT21+EnrlSC!BF21)/(EnrlSC!BE21+EnrlSC!AS21)*100,0))</f>
        <v>93</v>
      </c>
      <c r="J20" s="95">
        <f>IF(EnrlSC!BH21=0,"",ROUND(EnrlSC!BI21/EnrlSC!BH21*100,0))</f>
        <v>101</v>
      </c>
    </row>
    <row r="21" spans="1:10" s="35" customFormat="1" ht="19.5" customHeight="1">
      <c r="A21" s="25">
        <v>17</v>
      </c>
      <c r="B21" s="26" t="s">
        <v>30</v>
      </c>
      <c r="C21" s="95">
        <f>IF(EnrlSC!V22=0,"",ROUND(EnrlSC!V22/EnrlSC!U22*100,0))</f>
        <v>94</v>
      </c>
      <c r="D21" s="95">
        <f>IF(EnrlSC!AG22=0,"",ROUND(EnrlSC!AH22/EnrlSC!AG22*100,0))</f>
        <v>98</v>
      </c>
      <c r="E21" s="95">
        <f>IF(EnrlSC!AJ22=0,"",ROUND(EnrlSC!AK22/EnrlSC!AJ22*100,0))</f>
        <v>95</v>
      </c>
      <c r="F21" s="95">
        <f>IF(EnrlSC!AS22=0,"",ROUND(EnrlSC!AT22/EnrlSC!AS22*100,0))</f>
        <v>88</v>
      </c>
      <c r="G21" s="95">
        <f>IF(EnrlSC!AV22=0,"",ROUND(EnrlSC!AW22/EnrlSC!AV22*100,0))</f>
        <v>94</v>
      </c>
      <c r="H21" s="95">
        <f>IF(EnrlSC!BE22=0,"",ROUND(EnrlSC!BF22/EnrlSC!BE22*100,0))</f>
        <v>101</v>
      </c>
      <c r="I21" s="95">
        <f>IF((EnrlSC!AT22+EnrlSC!BF22)=0,"",ROUND((EnrlSC!AT22+EnrlSC!BF22)/(EnrlSC!BE22+EnrlSC!AS22)*100,0))</f>
        <v>89</v>
      </c>
      <c r="J21" s="95">
        <f>IF(EnrlSC!BH22=0,"",ROUND(EnrlSC!BI22/EnrlSC!BH22*100,0))</f>
        <v>94</v>
      </c>
    </row>
    <row r="22" spans="1:10" s="35" customFormat="1" ht="19.5" customHeight="1">
      <c r="A22" s="25">
        <v>18</v>
      </c>
      <c r="B22" s="26" t="s">
        <v>31</v>
      </c>
      <c r="C22" s="95">
        <f>IF(EnrlSC!V23=0,"",ROUND(EnrlSC!V23/EnrlSC!U23*100,0))</f>
        <v>84</v>
      </c>
      <c r="D22" s="95">
        <f>IF(EnrlSC!AG23=0,"",ROUND(EnrlSC!AH23/EnrlSC!AG23*100,0))</f>
        <v>66</v>
      </c>
      <c r="E22" s="95">
        <f>IF(EnrlSC!AJ23=0,"",ROUND(EnrlSC!AK23/EnrlSC!AJ23*100,0))</f>
        <v>79</v>
      </c>
      <c r="F22" s="95">
        <f>IF(EnrlSC!AS23=0,"",ROUND(EnrlSC!AT23/EnrlSC!AS23*100,0))</f>
        <v>77</v>
      </c>
      <c r="G22" s="95">
        <f>IF(EnrlSC!AV23=0,"",ROUND(EnrlSC!AW23/EnrlSC!AV23*100,0))</f>
        <v>79</v>
      </c>
      <c r="H22" s="95">
        <f>IF(EnrlSC!BE23=0,"",ROUND(EnrlSC!BF23/EnrlSC!BE23*100,0))</f>
        <v>50</v>
      </c>
      <c r="I22" s="95">
        <f>IF((EnrlSC!AT23+EnrlSC!BF23)=0,"",ROUND((EnrlSC!AT23+EnrlSC!BF23)/(EnrlSC!BE23+EnrlSC!AS23)*100,0))</f>
        <v>65</v>
      </c>
      <c r="J22" s="95">
        <f>IF(EnrlSC!BH23=0,"",ROUND(EnrlSC!BI23/EnrlSC!BH23*100,0))</f>
        <v>76</v>
      </c>
    </row>
    <row r="23" spans="1:10" s="35" customFormat="1" ht="19.5" customHeight="1">
      <c r="A23" s="25">
        <v>19</v>
      </c>
      <c r="B23" s="26" t="s">
        <v>54</v>
      </c>
      <c r="C23" s="95" t="str">
        <f>IF(EnrlSC!V24=0,"",ROUND(EnrlSC!V24/EnrlSC!U24*100,0))</f>
        <v/>
      </c>
      <c r="D23" s="95" t="str">
        <f>IF(EnrlSC!AG24=0,"",ROUND(EnrlSC!AH24/EnrlSC!AG24*100,0))</f>
        <v/>
      </c>
      <c r="E23" s="95" t="str">
        <f>IF(EnrlSC!AJ24=0,"",ROUND(EnrlSC!AK24/EnrlSC!AJ24*100,0))</f>
        <v/>
      </c>
      <c r="F23" s="95" t="str">
        <f>IF(EnrlSC!AS24=0,"",ROUND(EnrlSC!AT24/EnrlSC!AS24*100,0))</f>
        <v/>
      </c>
      <c r="G23" s="95" t="str">
        <f>IF(EnrlSC!AV24=0,"",ROUND(EnrlSC!AW24/EnrlSC!AV24*100,0))</f>
        <v/>
      </c>
      <c r="H23" s="95" t="str">
        <f>IF(EnrlSC!BE24=0,"",ROUND(EnrlSC!BF24/EnrlSC!BE24*100,0))</f>
        <v/>
      </c>
      <c r="I23" s="95" t="str">
        <f>IF((EnrlSC!AT24+EnrlSC!BF24)=0,"",ROUND((EnrlSC!AT24+EnrlSC!BF24)/(EnrlSC!BE24+EnrlSC!AS24)*100,0))</f>
        <v/>
      </c>
      <c r="J23" s="95" t="str">
        <f>IF(EnrlSC!BH24=0,"",ROUND(EnrlSC!BI24/EnrlSC!BH24*100,0))</f>
        <v/>
      </c>
    </row>
    <row r="24" spans="1:10" s="35" customFormat="1" ht="19.5" customHeight="1">
      <c r="A24" s="25">
        <v>20</v>
      </c>
      <c r="B24" s="2" t="s">
        <v>55</v>
      </c>
      <c r="C24" s="95">
        <f>IF(EnrlSC!V25=0,"",ROUND(EnrlSC!V25/EnrlSC!U25*100,0))</f>
        <v>96</v>
      </c>
      <c r="D24" s="95">
        <f>IF(EnrlSC!AG25=0,"",ROUND(EnrlSC!AH25/EnrlSC!AG25*100,0))</f>
        <v>98</v>
      </c>
      <c r="E24" s="95">
        <f>IF(EnrlSC!AJ25=0,"",ROUND(EnrlSC!AK25/EnrlSC!AJ25*100,0))</f>
        <v>96</v>
      </c>
      <c r="F24" s="95">
        <f>IF(EnrlSC!AS25=0,"",ROUND(EnrlSC!AT25/EnrlSC!AS25*100,0))</f>
        <v>94</v>
      </c>
      <c r="G24" s="95">
        <f>IF(EnrlSC!AV25=0,"",ROUND(EnrlSC!AW25/EnrlSC!AV25*100,0))</f>
        <v>96</v>
      </c>
      <c r="H24" s="95">
        <f>IF(EnrlSC!BE25=0,"",ROUND(EnrlSC!BF25/EnrlSC!BE25*100,0))</f>
        <v>67</v>
      </c>
      <c r="I24" s="95">
        <f>IF((EnrlSC!AT25+EnrlSC!BF25)=0,"",ROUND((EnrlSC!AT25+EnrlSC!BF25)/(EnrlSC!BE25+EnrlSC!AS25)*100,0))</f>
        <v>87</v>
      </c>
      <c r="J24" s="95">
        <f>IF(EnrlSC!BH25=0,"",ROUND(EnrlSC!BI25/EnrlSC!BH25*100,0))</f>
        <v>95</v>
      </c>
    </row>
    <row r="25" spans="1:10" s="35" customFormat="1" ht="19.5" customHeight="1">
      <c r="A25" s="25">
        <v>21</v>
      </c>
      <c r="B25" s="26" t="s">
        <v>74</v>
      </c>
      <c r="C25" s="95">
        <f>IF(EnrlSC!V26=0,"",ROUND(EnrlSC!V26/EnrlSC!U26*100,0))</f>
        <v>87</v>
      </c>
      <c r="D25" s="95">
        <f>IF(EnrlSC!AG26=0,"",ROUND(EnrlSC!AH26/EnrlSC!AG26*100,0))</f>
        <v>85</v>
      </c>
      <c r="E25" s="95">
        <f>IF(EnrlSC!AJ26=0,"",ROUND(EnrlSC!AK26/EnrlSC!AJ26*100,0))</f>
        <v>86</v>
      </c>
      <c r="F25" s="95">
        <f>IF(EnrlSC!AS26=0,"",ROUND(EnrlSC!AT26/EnrlSC!AS26*100,0))</f>
        <v>91</v>
      </c>
      <c r="G25" s="95">
        <f>IF(EnrlSC!AV26=0,"",ROUND(EnrlSC!AW26/EnrlSC!AV26*100,0))</f>
        <v>87</v>
      </c>
      <c r="H25" s="95">
        <f>IF(EnrlSC!BE26=0,"",ROUND(EnrlSC!BF26/EnrlSC!BE26*100,0))</f>
        <v>96</v>
      </c>
      <c r="I25" s="95">
        <f>IF((EnrlSC!AT26+EnrlSC!BF26)=0,"",ROUND((EnrlSC!AT26+EnrlSC!BF26)/(EnrlSC!BE26+EnrlSC!AS26)*100,0))</f>
        <v>92</v>
      </c>
      <c r="J25" s="95">
        <f>IF(EnrlSC!BH26=0,"",ROUND(EnrlSC!BI26/EnrlSC!BH26*100,0))</f>
        <v>88</v>
      </c>
    </row>
    <row r="26" spans="1:10" s="35" customFormat="1" ht="19.5" customHeight="1">
      <c r="A26" s="25">
        <v>22</v>
      </c>
      <c r="B26" s="26" t="s">
        <v>32</v>
      </c>
      <c r="C26" s="95">
        <f>IF(EnrlSC!V27=0,"",ROUND(EnrlSC!V27/EnrlSC!U27*100,0))</f>
        <v>89</v>
      </c>
      <c r="D26" s="95">
        <f>IF(EnrlSC!AG27=0,"",ROUND(EnrlSC!AH27/EnrlSC!AG27*100,0))</f>
        <v>81</v>
      </c>
      <c r="E26" s="95">
        <f>IF(EnrlSC!AJ27=0,"",ROUND(EnrlSC!AK27/EnrlSC!AJ27*100,0))</f>
        <v>86</v>
      </c>
      <c r="F26" s="95">
        <f>IF(EnrlSC!AS27=0,"",ROUND(EnrlSC!AT27/EnrlSC!AS27*100,0))</f>
        <v>63</v>
      </c>
      <c r="G26" s="95">
        <f>IF(EnrlSC!AV27=0,"",ROUND(EnrlSC!AW27/EnrlSC!AV27*100,0))</f>
        <v>83</v>
      </c>
      <c r="H26" s="95">
        <f>IF(EnrlSC!BE27=0,"",ROUND(EnrlSC!BF27/EnrlSC!BE27*100,0))</f>
        <v>54</v>
      </c>
      <c r="I26" s="95">
        <f>IF((EnrlSC!AT27+EnrlSC!BF27)=0,"",ROUND((EnrlSC!AT27+EnrlSC!BF27)/(EnrlSC!BE27+EnrlSC!AS27)*100,0))</f>
        <v>60</v>
      </c>
      <c r="J26" s="95">
        <f>IF(EnrlSC!BH27=0,"",ROUND(EnrlSC!BI27/EnrlSC!BH27*100,0))</f>
        <v>81</v>
      </c>
    </row>
    <row r="27" spans="1:10" s="35" customFormat="1" ht="19.5" customHeight="1">
      <c r="A27" s="25">
        <v>23</v>
      </c>
      <c r="B27" s="26" t="s">
        <v>33</v>
      </c>
      <c r="C27" s="95">
        <f>IF(EnrlSC!V28=0,"",ROUND(EnrlSC!V28/EnrlSC!U28*100,0))</f>
        <v>92</v>
      </c>
      <c r="D27" s="95">
        <f>IF(EnrlSC!AG28=0,"",ROUND(EnrlSC!AH28/EnrlSC!AG28*100,0))</f>
        <v>114</v>
      </c>
      <c r="E27" s="95">
        <f>IF(EnrlSC!AJ28=0,"",ROUND(EnrlSC!AK28/EnrlSC!AJ28*100,0))</f>
        <v>98</v>
      </c>
      <c r="F27" s="95">
        <f>IF(EnrlSC!AS28=0,"",ROUND(EnrlSC!AT28/EnrlSC!AS28*100,0))</f>
        <v>106</v>
      </c>
      <c r="G27" s="95">
        <f>IF(EnrlSC!AV28=0,"",ROUND(EnrlSC!AW28/EnrlSC!AV28*100,0))</f>
        <v>99</v>
      </c>
      <c r="H27" s="95">
        <f>IF(EnrlSC!BE28=0,"",ROUND(EnrlSC!BF28/EnrlSC!BE28*100,0))</f>
        <v>106</v>
      </c>
      <c r="I27" s="95">
        <f>IF((EnrlSC!AT28+EnrlSC!BF28)=0,"",ROUND((EnrlSC!AT28+EnrlSC!BF28)/(EnrlSC!BE28+EnrlSC!AS28)*100,0))</f>
        <v>106</v>
      </c>
      <c r="J27" s="95">
        <f>IF(EnrlSC!BH28=0,"",ROUND(EnrlSC!BI28/EnrlSC!BH28*100,0))</f>
        <v>99</v>
      </c>
    </row>
    <row r="28" spans="1:10" s="35" customFormat="1" ht="19.5" customHeight="1">
      <c r="A28" s="25">
        <v>24</v>
      </c>
      <c r="B28" s="26" t="s">
        <v>34</v>
      </c>
      <c r="C28" s="95">
        <f>IF(EnrlSC!V29=0,"",ROUND(EnrlSC!V29/EnrlSC!U29*100,0))</f>
        <v>106</v>
      </c>
      <c r="D28" s="95">
        <f>IF(EnrlSC!AG29=0,"",ROUND(EnrlSC!AH29/EnrlSC!AG29*100,0))</f>
        <v>99</v>
      </c>
      <c r="E28" s="95">
        <f>IF(EnrlSC!AJ29=0,"",ROUND(EnrlSC!AK29/EnrlSC!AJ29*100,0))</f>
        <v>104</v>
      </c>
      <c r="F28" s="95">
        <f>IF(EnrlSC!AS29=0,"",ROUND(EnrlSC!AT29/EnrlSC!AS29*100,0))</f>
        <v>98</v>
      </c>
      <c r="G28" s="95">
        <f>IF(EnrlSC!AV29=0,"",ROUND(EnrlSC!AW29/EnrlSC!AV29*100,0))</f>
        <v>103</v>
      </c>
      <c r="H28" s="95">
        <f>IF(EnrlSC!BE29=0,"",ROUND(EnrlSC!BF29/EnrlSC!BE29*100,0))</f>
        <v>121</v>
      </c>
      <c r="I28" s="95">
        <f>IF((EnrlSC!AT29+EnrlSC!BF29)=0,"",ROUND((EnrlSC!AT29+EnrlSC!BF29)/(EnrlSC!BE29+EnrlSC!AS29)*100,0))</f>
        <v>106</v>
      </c>
      <c r="J28" s="95">
        <f>IF(EnrlSC!BH29=0,"",ROUND(EnrlSC!BI29/EnrlSC!BH29*100,0))</f>
        <v>104</v>
      </c>
    </row>
    <row r="29" spans="1:10" s="35" customFormat="1" ht="19.5" customHeight="1">
      <c r="A29" s="25">
        <v>25</v>
      </c>
      <c r="B29" s="26" t="s">
        <v>35</v>
      </c>
      <c r="C29" s="95">
        <f>IF(EnrlSC!V30=0,"",ROUND(EnrlSC!V30/EnrlSC!U30*100,0))</f>
        <v>96</v>
      </c>
      <c r="D29" s="95">
        <f>IF(EnrlSC!AG30=0,"",ROUND(EnrlSC!AH30/EnrlSC!AG30*100,0))</f>
        <v>98</v>
      </c>
      <c r="E29" s="95">
        <f>IF(EnrlSC!AJ30=0,"",ROUND(EnrlSC!AK30/EnrlSC!AJ30*100,0))</f>
        <v>97</v>
      </c>
      <c r="F29" s="95">
        <f>IF(EnrlSC!AS30=0,"",ROUND(EnrlSC!AT30/EnrlSC!AS30*100,0))</f>
        <v>99</v>
      </c>
      <c r="G29" s="95">
        <f>IF(EnrlSC!AV30=0,"",ROUND(EnrlSC!AW30/EnrlSC!AV30*100,0))</f>
        <v>97</v>
      </c>
      <c r="H29" s="95">
        <f>IF(EnrlSC!BE30=0,"",ROUND(EnrlSC!BF30/EnrlSC!BE30*100,0))</f>
        <v>94</v>
      </c>
      <c r="I29" s="95">
        <f>IF((EnrlSC!AT30+EnrlSC!BF30)=0,"",ROUND((EnrlSC!AT30+EnrlSC!BF30)/(EnrlSC!BE30+EnrlSC!AS30)*100,0))</f>
        <v>97</v>
      </c>
      <c r="J29" s="95">
        <f>IF(EnrlSC!BH30=0,"",ROUND(EnrlSC!BI30/EnrlSC!BH30*100,0))</f>
        <v>97</v>
      </c>
    </row>
    <row r="30" spans="1:10" s="35" customFormat="1" ht="19.5" customHeight="1">
      <c r="A30" s="25">
        <v>26</v>
      </c>
      <c r="B30" s="26" t="s">
        <v>36</v>
      </c>
      <c r="C30" s="95">
        <f>IF(EnrlSC!V31=0,"",ROUND(EnrlSC!V31/EnrlSC!U31*100,0))</f>
        <v>96</v>
      </c>
      <c r="D30" s="95">
        <f>IF(EnrlSC!AG31=0,"",ROUND(EnrlSC!AH31/EnrlSC!AG31*100,0))</f>
        <v>97</v>
      </c>
      <c r="E30" s="95">
        <f>IF(EnrlSC!AJ31=0,"",ROUND(EnrlSC!AK31/EnrlSC!AJ31*100,0))</f>
        <v>96</v>
      </c>
      <c r="F30" s="95">
        <f>IF(EnrlSC!AS31=0,"",ROUND(EnrlSC!AT31/EnrlSC!AS31*100,0))</f>
        <v>93</v>
      </c>
      <c r="G30" s="95">
        <f>IF(EnrlSC!AV31=0,"",ROUND(EnrlSC!AW31/EnrlSC!AV31*100,0))</f>
        <v>96</v>
      </c>
      <c r="H30" s="95">
        <f>IF(EnrlSC!BE31=0,"",ROUND(EnrlSC!BF31/EnrlSC!BE31*100,0))</f>
        <v>93</v>
      </c>
      <c r="I30" s="95">
        <f>IF((EnrlSC!AT31+EnrlSC!BF31)=0,"",ROUND((EnrlSC!AT31+EnrlSC!BF31)/(EnrlSC!BE31+EnrlSC!AS31)*100,0))</f>
        <v>93</v>
      </c>
      <c r="J30" s="95">
        <f>IF(EnrlSC!BH31=0,"",ROUND(EnrlSC!BI31/EnrlSC!BH31*100,0))</f>
        <v>96</v>
      </c>
    </row>
    <row r="31" spans="1:10" s="35" customFormat="1" ht="19.5" customHeight="1">
      <c r="A31" s="25">
        <v>27</v>
      </c>
      <c r="B31" s="26" t="s">
        <v>37</v>
      </c>
      <c r="C31" s="95">
        <f>IF(EnrlSC!V32=0,"",ROUND(EnrlSC!V32/EnrlSC!U32*100,0))</f>
        <v>95</v>
      </c>
      <c r="D31" s="95">
        <f>IF(EnrlSC!AG32=0,"",ROUND(EnrlSC!AH32/EnrlSC!AG32*100,0))</f>
        <v>99</v>
      </c>
      <c r="E31" s="95">
        <f>IF(EnrlSC!AJ32=0,"",ROUND(EnrlSC!AK32/EnrlSC!AJ32*100,0))</f>
        <v>96</v>
      </c>
      <c r="F31" s="95">
        <f>IF(EnrlSC!AS32=0,"",ROUND(EnrlSC!AT32/EnrlSC!AS32*100,0))</f>
        <v>87</v>
      </c>
      <c r="G31" s="95">
        <f>IF(EnrlSC!AV32=0,"",ROUND(EnrlSC!AW32/EnrlSC!AV32*100,0))</f>
        <v>95</v>
      </c>
      <c r="H31" s="95">
        <f>IF(EnrlSC!BE32=0,"",ROUND(EnrlSC!BF32/EnrlSC!BE32*100,0))</f>
        <v>89</v>
      </c>
      <c r="I31" s="95">
        <f>IF((EnrlSC!AT32+EnrlSC!BF32)=0,"",ROUND((EnrlSC!AT32+EnrlSC!BF32)/(EnrlSC!BE32+EnrlSC!AS32)*100,0))</f>
        <v>88</v>
      </c>
      <c r="J31" s="95">
        <f>IF(EnrlSC!BH32=0,"",ROUND(EnrlSC!BI32/EnrlSC!BH32*100,0))</f>
        <v>94</v>
      </c>
    </row>
    <row r="32" spans="1:10" s="35" customFormat="1" ht="19.5" customHeight="1">
      <c r="A32" s="25">
        <v>28</v>
      </c>
      <c r="B32" s="26" t="s">
        <v>38</v>
      </c>
      <c r="C32" s="95">
        <f>IF(EnrlSC!V33=0,"",ROUND(EnrlSC!V33/EnrlSC!U33*100,0))</f>
        <v>96</v>
      </c>
      <c r="D32" s="95">
        <f>IF(EnrlSC!AG33=0,"",ROUND(EnrlSC!AH33/EnrlSC!AG33*100,0))</f>
        <v>100</v>
      </c>
      <c r="E32" s="95">
        <f>IF(EnrlSC!AJ33=0,"",ROUND(EnrlSC!AK33/EnrlSC!AJ33*100,0))</f>
        <v>97</v>
      </c>
      <c r="F32" s="95">
        <f>IF(EnrlSC!AS33=0,"",ROUND(EnrlSC!AT33/EnrlSC!AS33*100,0))</f>
        <v>100</v>
      </c>
      <c r="G32" s="95">
        <f>IF(EnrlSC!AV33=0,"",ROUND(EnrlSC!AW33/EnrlSC!AV33*100,0))</f>
        <v>98</v>
      </c>
      <c r="H32" s="95">
        <f>IF(EnrlSC!BE33=0,"",ROUND(EnrlSC!BF33/EnrlSC!BE33*100,0))</f>
        <v>79</v>
      </c>
      <c r="I32" s="95">
        <f>IF((EnrlSC!AT33+EnrlSC!BF33)=0,"",ROUND((EnrlSC!AT33+EnrlSC!BF33)/(EnrlSC!BE33+EnrlSC!AS33)*100,0))</f>
        <v>91</v>
      </c>
      <c r="J32" s="95">
        <f>IF(EnrlSC!BH33=0,"",ROUND(EnrlSC!BI33/EnrlSC!BH33*100,0))</f>
        <v>96</v>
      </c>
    </row>
    <row r="33" spans="1:10" s="35" customFormat="1" ht="19.5" customHeight="1">
      <c r="A33" s="25">
        <v>29</v>
      </c>
      <c r="B33" s="26" t="s">
        <v>39</v>
      </c>
      <c r="C33" s="95" t="str">
        <f>IF(EnrlSC!V34=0,"",ROUND(EnrlSC!V34/EnrlSC!U34*100,0))</f>
        <v/>
      </c>
      <c r="D33" s="95" t="str">
        <f>IF(EnrlSC!AG34=0,"",ROUND(EnrlSC!AH34/EnrlSC!AG34*100,0))</f>
        <v/>
      </c>
      <c r="E33" s="95" t="str">
        <f>IF(EnrlSC!AJ34=0,"",ROUND(EnrlSC!AK34/EnrlSC!AJ34*100,0))</f>
        <v/>
      </c>
      <c r="F33" s="95" t="str">
        <f>IF(EnrlSC!AS34=0,"",ROUND(EnrlSC!AT34/EnrlSC!AS34*100,0))</f>
        <v/>
      </c>
      <c r="G33" s="95" t="str">
        <f>IF(EnrlSC!AV34=0,"",ROUND(EnrlSC!AW34/EnrlSC!AV34*100,0))</f>
        <v/>
      </c>
      <c r="H33" s="95" t="str">
        <f>IF(EnrlSC!BE34=0,"",ROUND(EnrlSC!BF34/EnrlSC!BE34*100,0))</f>
        <v/>
      </c>
      <c r="I33" s="95" t="str">
        <f>IF((EnrlSC!AT34+EnrlSC!BF34)=0,"",ROUND((EnrlSC!AT34+EnrlSC!BF34)/(EnrlSC!BE34+EnrlSC!AS34)*100,0))</f>
        <v/>
      </c>
      <c r="J33" s="95" t="str">
        <f>IF(EnrlSC!BH34=0,"",ROUND(EnrlSC!BI34/EnrlSC!BH34*100,0))</f>
        <v/>
      </c>
    </row>
    <row r="34" spans="1:10" s="35" customFormat="1" ht="19.5" customHeight="1">
      <c r="A34" s="25">
        <v>30</v>
      </c>
      <c r="B34" s="26" t="s">
        <v>40</v>
      </c>
      <c r="C34" s="95">
        <f>IF(EnrlSC!V35=0,"",ROUND(EnrlSC!V35/EnrlSC!U35*100,0))</f>
        <v>82</v>
      </c>
      <c r="D34" s="95">
        <f>IF(EnrlSC!AG35=0,"",ROUND(EnrlSC!AH35/EnrlSC!AG35*100,0))</f>
        <v>89</v>
      </c>
      <c r="E34" s="95">
        <f>IF(EnrlSC!AJ35=0,"",ROUND(EnrlSC!AK35/EnrlSC!AJ35*100,0))</f>
        <v>85</v>
      </c>
      <c r="F34" s="95">
        <f>IF(EnrlSC!AS35=0,"",ROUND(EnrlSC!AT35/EnrlSC!AS35*100,0))</f>
        <v>93</v>
      </c>
      <c r="G34" s="95">
        <f>IF(EnrlSC!AV35=0,"",ROUND(EnrlSC!AW35/EnrlSC!AV35*100,0))</f>
        <v>87</v>
      </c>
      <c r="H34" s="95">
        <f>IF(EnrlSC!BE35=0,"",ROUND(EnrlSC!BF35/EnrlSC!BE35*100,0))</f>
        <v>78</v>
      </c>
      <c r="I34" s="95">
        <f>IF((EnrlSC!AT35+EnrlSC!BF35)=0,"",ROUND((EnrlSC!AT35+EnrlSC!BF35)/(EnrlSC!BE35+EnrlSC!AS35)*100,0))</f>
        <v>86</v>
      </c>
      <c r="J34" s="95">
        <f>IF(EnrlSC!BH35=0,"",ROUND(EnrlSC!BI35/EnrlSC!BH35*100,0))</f>
        <v>86</v>
      </c>
    </row>
    <row r="35" spans="1:10" s="35" customFormat="1" ht="19.5" customHeight="1">
      <c r="A35" s="25">
        <v>31</v>
      </c>
      <c r="B35" s="26" t="s">
        <v>41</v>
      </c>
      <c r="C35" s="95">
        <f>IF(EnrlSC!V36=0,"",ROUND(EnrlSC!V36/EnrlSC!U36*100,0))</f>
        <v>81</v>
      </c>
      <c r="D35" s="95">
        <f>IF(EnrlSC!AG36=0,"",ROUND(EnrlSC!AH36/EnrlSC!AG36*100,0))</f>
        <v>79</v>
      </c>
      <c r="E35" s="95">
        <f>IF(EnrlSC!AJ36=0,"",ROUND(EnrlSC!AK36/EnrlSC!AJ36*100,0))</f>
        <v>80</v>
      </c>
      <c r="F35" s="95">
        <f>IF(EnrlSC!AS36=0,"",ROUND(EnrlSC!AT36/EnrlSC!AS36*100,0))</f>
        <v>107</v>
      </c>
      <c r="G35" s="95">
        <f>IF(EnrlSC!AV36=0,"",ROUND(EnrlSC!AW36/EnrlSC!AV36*100,0))</f>
        <v>84</v>
      </c>
      <c r="H35" s="95">
        <f>IF(EnrlSC!BE36=0,"",ROUND(EnrlSC!BF36/EnrlSC!BE36*100,0))</f>
        <v>106</v>
      </c>
      <c r="I35" s="95">
        <f>IF((EnrlSC!AT36+EnrlSC!BF36)=0,"",ROUND((EnrlSC!AT36+EnrlSC!BF36)/(EnrlSC!BE36+EnrlSC!AS36)*100,0))</f>
        <v>107</v>
      </c>
      <c r="J35" s="95">
        <f>IF(EnrlSC!BH36=0,"",ROUND(EnrlSC!BI36/EnrlSC!BH36*100,0))</f>
        <v>86</v>
      </c>
    </row>
    <row r="36" spans="1:10" s="35" customFormat="1" ht="19.5" customHeight="1">
      <c r="A36" s="25">
        <v>32</v>
      </c>
      <c r="B36" s="26" t="s">
        <v>42</v>
      </c>
      <c r="C36" s="95">
        <f>IF(EnrlSC!V37=0,"",ROUND(EnrlSC!V37/EnrlSC!U37*100,0))</f>
        <v>92</v>
      </c>
      <c r="D36" s="95">
        <f>IF(EnrlSC!AG37=0,"",ROUND(EnrlSC!AH37/EnrlSC!AG37*100,0))</f>
        <v>83</v>
      </c>
      <c r="E36" s="95">
        <f>IF(EnrlSC!AJ37=0,"",ROUND(EnrlSC!AK37/EnrlSC!AJ37*100,0))</f>
        <v>88</v>
      </c>
      <c r="F36" s="95">
        <f>IF(EnrlSC!AS37=0,"",ROUND(EnrlSC!AT37/EnrlSC!AS37*100,0))</f>
        <v>78</v>
      </c>
      <c r="G36" s="95">
        <f>IF(EnrlSC!AV37=0,"",ROUND(EnrlSC!AW37/EnrlSC!AV37*100,0))</f>
        <v>85</v>
      </c>
      <c r="H36" s="95">
        <f>IF(EnrlSC!BE37=0,"",ROUND(EnrlSC!BF37/EnrlSC!BE37*100,0))</f>
        <v>89</v>
      </c>
      <c r="I36" s="95">
        <f>IF((EnrlSC!AT37+EnrlSC!BF37)=0,"",ROUND((EnrlSC!AT37+EnrlSC!BF37)/(EnrlSC!BE37+EnrlSC!AS37)*100,0))</f>
        <v>82</v>
      </c>
      <c r="J36" s="95">
        <f>IF(EnrlSC!BH37=0,"",ROUND(EnrlSC!BI37/EnrlSC!BH37*100,0))</f>
        <v>86</v>
      </c>
    </row>
    <row r="37" spans="1:10" s="35" customFormat="1" ht="19.5" customHeight="1">
      <c r="A37" s="25">
        <v>33</v>
      </c>
      <c r="B37" s="26" t="s">
        <v>43</v>
      </c>
      <c r="C37" s="95">
        <f>IF(EnrlSC!V38=0,"",ROUND(EnrlSC!V38/EnrlSC!U38*100,0))</f>
        <v>90</v>
      </c>
      <c r="D37" s="95">
        <f>IF(EnrlSC!AG38=0,"",ROUND(EnrlSC!AH38/EnrlSC!AG38*100,0))</f>
        <v>103</v>
      </c>
      <c r="E37" s="95">
        <f>IF(EnrlSC!AJ38=0,"",ROUND(EnrlSC!AK38/EnrlSC!AJ38*100,0))</f>
        <v>94</v>
      </c>
      <c r="F37" s="95">
        <f>IF(EnrlSC!AS38=0,"",ROUND(EnrlSC!AT38/EnrlSC!AS38*100,0))</f>
        <v>100</v>
      </c>
      <c r="G37" s="95">
        <f>IF(EnrlSC!AV38=0,"",ROUND(EnrlSC!AW38/EnrlSC!AV38*100,0))</f>
        <v>95</v>
      </c>
      <c r="H37" s="95">
        <f>IF(EnrlSC!BE38=0,"",ROUND(EnrlSC!BF38/EnrlSC!BE38*100,0))</f>
        <v>105</v>
      </c>
      <c r="I37" s="95">
        <f>IF((EnrlSC!AT38+EnrlSC!BF38)=0,"",ROUND((EnrlSC!AT38+EnrlSC!BF38)/(EnrlSC!BE38+EnrlSC!AS38)*100,0))</f>
        <v>102</v>
      </c>
      <c r="J37" s="95">
        <f>IF(EnrlSC!BH38=0,"",ROUND(EnrlSC!BI38/EnrlSC!BH38*100,0))</f>
        <v>97</v>
      </c>
    </row>
    <row r="38" spans="1:10" s="35" customFormat="1" ht="19.5" customHeight="1">
      <c r="A38" s="25">
        <v>34</v>
      </c>
      <c r="B38" s="26" t="s">
        <v>44</v>
      </c>
      <c r="C38" s="95" t="str">
        <f>IF(EnrlSC!V39=0,"",ROUND(EnrlSC!V39/EnrlSC!U39*100,0))</f>
        <v/>
      </c>
      <c r="D38" s="95" t="str">
        <f>IF(EnrlSC!AG39=0,"",ROUND(EnrlSC!AH39/EnrlSC!AG39*100,0))</f>
        <v/>
      </c>
      <c r="E38" s="95" t="str">
        <f>IF(EnrlSC!AJ39=0,"",ROUND(EnrlSC!AK39/EnrlSC!AJ39*100,0))</f>
        <v/>
      </c>
      <c r="F38" s="95" t="str">
        <f>IF(EnrlSC!AS39=0,"",ROUND(EnrlSC!AT39/EnrlSC!AS39*100,0))</f>
        <v/>
      </c>
      <c r="G38" s="95" t="str">
        <f>IF(EnrlSC!AV39=0,"",ROUND(EnrlSC!AW39/EnrlSC!AV39*100,0))</f>
        <v/>
      </c>
      <c r="H38" s="95" t="str">
        <f>IF(EnrlSC!BE39=0,"",ROUND(EnrlSC!BF39/EnrlSC!BE39*100,0))</f>
        <v/>
      </c>
      <c r="I38" s="95" t="str">
        <f>IF((EnrlSC!AT39+EnrlSC!BF39)=0,"",ROUND((EnrlSC!AT39+EnrlSC!BF39)/(EnrlSC!BE39+EnrlSC!AS39)*100,0))</f>
        <v/>
      </c>
      <c r="J38" s="95" t="str">
        <f>IF(EnrlSC!BH39=0,"",ROUND(EnrlSC!BI39/EnrlSC!BH39*100,0))</f>
        <v/>
      </c>
    </row>
    <row r="39" spans="1:10" s="35" customFormat="1" ht="19.5" customHeight="1">
      <c r="A39" s="25">
        <v>35</v>
      </c>
      <c r="B39" s="26" t="s">
        <v>45</v>
      </c>
      <c r="C39" s="95">
        <f>IF(EnrlSC!V40=0,"",ROUND(EnrlSC!V40/EnrlSC!U40*100,0))</f>
        <v>95</v>
      </c>
      <c r="D39" s="95">
        <f>IF(EnrlSC!AG40=0,"",ROUND(EnrlSC!AH40/EnrlSC!AG40*100,0))</f>
        <v>97</v>
      </c>
      <c r="E39" s="95">
        <f>IF(EnrlSC!AJ40=0,"",ROUND(EnrlSC!AK40/EnrlSC!AJ40*100,0))</f>
        <v>96</v>
      </c>
      <c r="F39" s="95">
        <f>IF(EnrlSC!AS40=0,"",ROUND(EnrlSC!AT40/EnrlSC!AS40*100,0))</f>
        <v>99</v>
      </c>
      <c r="G39" s="95">
        <f>IF(EnrlSC!AV40=0,"",ROUND(EnrlSC!AW40/EnrlSC!AV40*100,0))</f>
        <v>97</v>
      </c>
      <c r="H39" s="95">
        <f>IF(EnrlSC!BE40=0,"",ROUND(EnrlSC!BF40/EnrlSC!BE40*100,0))</f>
        <v>121</v>
      </c>
      <c r="I39" s="95">
        <f>IF((EnrlSC!AT40+EnrlSC!BF40)=0,"",ROUND((EnrlSC!AT40+EnrlSC!BF40)/(EnrlSC!BE40+EnrlSC!AS40)*100,0))</f>
        <v>106</v>
      </c>
      <c r="J39" s="95">
        <f>IF(EnrlSC!BH40=0,"",ROUND(EnrlSC!BI40/EnrlSC!BH40*100,0))</f>
        <v>99</v>
      </c>
    </row>
    <row r="40" spans="1:10" s="87" customFormat="1" ht="19.5" customHeight="1">
      <c r="A40" s="286" t="s">
        <v>46</v>
      </c>
      <c r="B40" s="286"/>
      <c r="C40" s="97">
        <f>IF(EnrlSC!V41=0,"",ROUND(EnrlSC!V41/EnrlSC!U41*100,0))</f>
        <v>94</v>
      </c>
      <c r="D40" s="97">
        <f>IF(EnrlSC!AG41=0,"",ROUND(EnrlSC!AH41/EnrlSC!AG41*100,0))</f>
        <v>94</v>
      </c>
      <c r="E40" s="97">
        <f>IF(EnrlSC!AJ41=0,"",ROUND(EnrlSC!AK41/EnrlSC!AJ41*100,0))</f>
        <v>94</v>
      </c>
      <c r="F40" s="97">
        <f>IF(EnrlSC!AS41=0,"",ROUND(EnrlSC!AT41/EnrlSC!AS41*100,0))</f>
        <v>88</v>
      </c>
      <c r="G40" s="97">
        <f>IF(EnrlSC!AV41=0,"",ROUND(EnrlSC!AW41/EnrlSC!AV41*100,0))</f>
        <v>93</v>
      </c>
      <c r="H40" s="97">
        <f>IF(EnrlSC!BE41=0,"",ROUND(EnrlSC!BF41/EnrlSC!BE41*100,0))</f>
        <v>86</v>
      </c>
      <c r="I40" s="97">
        <f>IF((EnrlSC!AT41+EnrlSC!BF41)=0,"",ROUND((EnrlSC!AT41+EnrlSC!BF41)/(EnrlSC!BE41+EnrlSC!AS41)*100,0))</f>
        <v>87</v>
      </c>
      <c r="J40" s="97">
        <f>IF(EnrlSC!BH41=0,"",ROUND(EnrlSC!BI41/EnrlSC!BH41*100,0))</f>
        <v>92</v>
      </c>
    </row>
  </sheetData>
  <mergeCells count="1">
    <mergeCell ref="A40:B40"/>
  </mergeCells>
  <printOptions horizontalCentered="1"/>
  <pageMargins left="0.2" right="0.22" top="0.44" bottom="0.59" header="0.2" footer="0.33"/>
  <pageSetup paperSize="9" scale="98" firstPageNumber="64" orientation="portrait" useFirstPageNumber="1" r:id="rId1"/>
  <headerFooter alignWithMargins="0">
    <oddFooter>&amp;LSTATISTICS OF SCHOOL EDUCATION 2011-12&amp;R&amp;P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J40"/>
  <sheetViews>
    <sheetView view="pageBreakPreview" zoomScaleSheetLayoutView="100" workbookViewId="0">
      <selection activeCell="L25" sqref="L25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10" width="8.85546875" style="5" customWidth="1"/>
    <col min="11" max="92" width="8.85546875" style="5"/>
    <col min="93" max="93" width="6.140625" style="5" customWidth="1"/>
    <col min="94" max="94" width="20.28515625" style="5" customWidth="1"/>
    <col min="95" max="95" width="12.42578125" style="5" customWidth="1"/>
    <col min="96" max="96" width="13" style="5" customWidth="1"/>
    <col min="97" max="97" width="12.5703125" style="5" customWidth="1"/>
    <col min="98" max="111" width="11.7109375" style="5" customWidth="1"/>
    <col min="112" max="112" width="12.28515625" style="5" customWidth="1"/>
    <col min="113" max="113" width="11.7109375" style="5" customWidth="1"/>
    <col min="114" max="114" width="12.85546875" style="5" customWidth="1"/>
    <col min="115" max="115" width="11.7109375" style="5" customWidth="1"/>
    <col min="116" max="116" width="12.7109375" style="5" customWidth="1"/>
    <col min="117" max="117" width="11.7109375" style="5" customWidth="1"/>
    <col min="118" max="118" width="13" style="5" customWidth="1"/>
    <col min="119" max="130" width="11.7109375" style="5" customWidth="1"/>
    <col min="131" max="131" width="12.5703125" style="5" customWidth="1"/>
    <col min="132" max="132" width="11.7109375" style="5" customWidth="1"/>
    <col min="133" max="133" width="13" style="5" customWidth="1"/>
    <col min="134" max="139" width="11.7109375" style="5" customWidth="1"/>
    <col min="140" max="140" width="13.7109375" style="5" customWidth="1"/>
    <col min="141" max="141" width="13.140625" style="5" customWidth="1"/>
    <col min="142" max="145" width="13" style="5" customWidth="1"/>
    <col min="146" max="152" width="11.7109375" style="5" customWidth="1"/>
    <col min="153" max="153" width="10.85546875" style="5" customWidth="1"/>
    <col min="154" max="154" width="11.7109375" style="5" customWidth="1"/>
    <col min="155" max="157" width="22.7109375" style="5" customWidth="1"/>
    <col min="158" max="160" width="20.7109375" style="5" customWidth="1"/>
    <col min="161" max="348" width="8.85546875" style="5"/>
    <col min="349" max="349" width="6.140625" style="5" customWidth="1"/>
    <col min="350" max="350" width="20.28515625" style="5" customWidth="1"/>
    <col min="351" max="351" width="12.42578125" style="5" customWidth="1"/>
    <col min="352" max="352" width="13" style="5" customWidth="1"/>
    <col min="353" max="353" width="12.5703125" style="5" customWidth="1"/>
    <col min="354" max="367" width="11.7109375" style="5" customWidth="1"/>
    <col min="368" max="368" width="12.28515625" style="5" customWidth="1"/>
    <col min="369" max="369" width="11.7109375" style="5" customWidth="1"/>
    <col min="370" max="370" width="12.85546875" style="5" customWidth="1"/>
    <col min="371" max="371" width="11.7109375" style="5" customWidth="1"/>
    <col min="372" max="372" width="12.7109375" style="5" customWidth="1"/>
    <col min="373" max="373" width="11.7109375" style="5" customWidth="1"/>
    <col min="374" max="374" width="13" style="5" customWidth="1"/>
    <col min="375" max="386" width="11.7109375" style="5" customWidth="1"/>
    <col min="387" max="387" width="12.5703125" style="5" customWidth="1"/>
    <col min="388" max="388" width="11.7109375" style="5" customWidth="1"/>
    <col min="389" max="389" width="13" style="5" customWidth="1"/>
    <col min="390" max="395" width="11.7109375" style="5" customWidth="1"/>
    <col min="396" max="396" width="13.7109375" style="5" customWidth="1"/>
    <col min="397" max="397" width="13.140625" style="5" customWidth="1"/>
    <col min="398" max="401" width="13" style="5" customWidth="1"/>
    <col min="402" max="408" width="11.7109375" style="5" customWidth="1"/>
    <col min="409" max="409" width="10.85546875" style="5" customWidth="1"/>
    <col min="410" max="410" width="11.7109375" style="5" customWidth="1"/>
    <col min="411" max="413" width="22.7109375" style="5" customWidth="1"/>
    <col min="414" max="416" width="20.7109375" style="5" customWidth="1"/>
    <col min="417" max="604" width="8.85546875" style="5"/>
    <col min="605" max="605" width="6.140625" style="5" customWidth="1"/>
    <col min="606" max="606" width="20.28515625" style="5" customWidth="1"/>
    <col min="607" max="607" width="12.42578125" style="5" customWidth="1"/>
    <col min="608" max="608" width="13" style="5" customWidth="1"/>
    <col min="609" max="609" width="12.5703125" style="5" customWidth="1"/>
    <col min="610" max="623" width="11.7109375" style="5" customWidth="1"/>
    <col min="624" max="624" width="12.28515625" style="5" customWidth="1"/>
    <col min="625" max="625" width="11.7109375" style="5" customWidth="1"/>
    <col min="626" max="626" width="12.85546875" style="5" customWidth="1"/>
    <col min="627" max="627" width="11.7109375" style="5" customWidth="1"/>
    <col min="628" max="628" width="12.7109375" style="5" customWidth="1"/>
    <col min="629" max="629" width="11.7109375" style="5" customWidth="1"/>
    <col min="630" max="630" width="13" style="5" customWidth="1"/>
    <col min="631" max="642" width="11.7109375" style="5" customWidth="1"/>
    <col min="643" max="643" width="12.5703125" style="5" customWidth="1"/>
    <col min="644" max="644" width="11.7109375" style="5" customWidth="1"/>
    <col min="645" max="645" width="13" style="5" customWidth="1"/>
    <col min="646" max="651" width="11.7109375" style="5" customWidth="1"/>
    <col min="652" max="652" width="13.7109375" style="5" customWidth="1"/>
    <col min="653" max="653" width="13.140625" style="5" customWidth="1"/>
    <col min="654" max="657" width="13" style="5" customWidth="1"/>
    <col min="658" max="664" width="11.7109375" style="5" customWidth="1"/>
    <col min="665" max="665" width="10.85546875" style="5" customWidth="1"/>
    <col min="666" max="666" width="11.7109375" style="5" customWidth="1"/>
    <col min="667" max="669" width="22.7109375" style="5" customWidth="1"/>
    <col min="670" max="672" width="20.7109375" style="5" customWidth="1"/>
    <col min="673" max="860" width="8.85546875" style="5"/>
    <col min="861" max="861" width="6.140625" style="5" customWidth="1"/>
    <col min="862" max="862" width="20.28515625" style="5" customWidth="1"/>
    <col min="863" max="863" width="12.42578125" style="5" customWidth="1"/>
    <col min="864" max="864" width="13" style="5" customWidth="1"/>
    <col min="865" max="865" width="12.5703125" style="5" customWidth="1"/>
    <col min="866" max="879" width="11.7109375" style="5" customWidth="1"/>
    <col min="880" max="880" width="12.28515625" style="5" customWidth="1"/>
    <col min="881" max="881" width="11.7109375" style="5" customWidth="1"/>
    <col min="882" max="882" width="12.85546875" style="5" customWidth="1"/>
    <col min="883" max="883" width="11.7109375" style="5" customWidth="1"/>
    <col min="884" max="884" width="12.7109375" style="5" customWidth="1"/>
    <col min="885" max="885" width="11.7109375" style="5" customWidth="1"/>
    <col min="886" max="886" width="13" style="5" customWidth="1"/>
    <col min="887" max="898" width="11.7109375" style="5" customWidth="1"/>
    <col min="899" max="899" width="12.5703125" style="5" customWidth="1"/>
    <col min="900" max="900" width="11.7109375" style="5" customWidth="1"/>
    <col min="901" max="901" width="13" style="5" customWidth="1"/>
    <col min="902" max="907" width="11.7109375" style="5" customWidth="1"/>
    <col min="908" max="908" width="13.7109375" style="5" customWidth="1"/>
    <col min="909" max="909" width="13.140625" style="5" customWidth="1"/>
    <col min="910" max="913" width="13" style="5" customWidth="1"/>
    <col min="914" max="920" width="11.7109375" style="5" customWidth="1"/>
    <col min="921" max="921" width="10.85546875" style="5" customWidth="1"/>
    <col min="922" max="922" width="11.7109375" style="5" customWidth="1"/>
    <col min="923" max="925" width="22.7109375" style="5" customWidth="1"/>
    <col min="926" max="928" width="20.7109375" style="5" customWidth="1"/>
    <col min="929" max="1116" width="8.85546875" style="5"/>
    <col min="1117" max="1117" width="6.140625" style="5" customWidth="1"/>
    <col min="1118" max="1118" width="20.28515625" style="5" customWidth="1"/>
    <col min="1119" max="1119" width="12.42578125" style="5" customWidth="1"/>
    <col min="1120" max="1120" width="13" style="5" customWidth="1"/>
    <col min="1121" max="1121" width="12.5703125" style="5" customWidth="1"/>
    <col min="1122" max="1135" width="11.7109375" style="5" customWidth="1"/>
    <col min="1136" max="1136" width="12.28515625" style="5" customWidth="1"/>
    <col min="1137" max="1137" width="11.7109375" style="5" customWidth="1"/>
    <col min="1138" max="1138" width="12.85546875" style="5" customWidth="1"/>
    <col min="1139" max="1139" width="11.7109375" style="5" customWidth="1"/>
    <col min="1140" max="1140" width="12.7109375" style="5" customWidth="1"/>
    <col min="1141" max="1141" width="11.7109375" style="5" customWidth="1"/>
    <col min="1142" max="1142" width="13" style="5" customWidth="1"/>
    <col min="1143" max="1154" width="11.7109375" style="5" customWidth="1"/>
    <col min="1155" max="1155" width="12.5703125" style="5" customWidth="1"/>
    <col min="1156" max="1156" width="11.7109375" style="5" customWidth="1"/>
    <col min="1157" max="1157" width="13" style="5" customWidth="1"/>
    <col min="1158" max="1163" width="11.7109375" style="5" customWidth="1"/>
    <col min="1164" max="1164" width="13.7109375" style="5" customWidth="1"/>
    <col min="1165" max="1165" width="13.140625" style="5" customWidth="1"/>
    <col min="1166" max="1169" width="13" style="5" customWidth="1"/>
    <col min="1170" max="1176" width="11.7109375" style="5" customWidth="1"/>
    <col min="1177" max="1177" width="10.85546875" style="5" customWidth="1"/>
    <col min="1178" max="1178" width="11.7109375" style="5" customWidth="1"/>
    <col min="1179" max="1181" width="22.7109375" style="5" customWidth="1"/>
    <col min="1182" max="1184" width="20.7109375" style="5" customWidth="1"/>
    <col min="1185" max="1372" width="8.85546875" style="5"/>
    <col min="1373" max="1373" width="6.140625" style="5" customWidth="1"/>
    <col min="1374" max="1374" width="20.28515625" style="5" customWidth="1"/>
    <col min="1375" max="1375" width="12.42578125" style="5" customWidth="1"/>
    <col min="1376" max="1376" width="13" style="5" customWidth="1"/>
    <col min="1377" max="1377" width="12.5703125" style="5" customWidth="1"/>
    <col min="1378" max="1391" width="11.7109375" style="5" customWidth="1"/>
    <col min="1392" max="1392" width="12.28515625" style="5" customWidth="1"/>
    <col min="1393" max="1393" width="11.7109375" style="5" customWidth="1"/>
    <col min="1394" max="1394" width="12.85546875" style="5" customWidth="1"/>
    <col min="1395" max="1395" width="11.7109375" style="5" customWidth="1"/>
    <col min="1396" max="1396" width="12.7109375" style="5" customWidth="1"/>
    <col min="1397" max="1397" width="11.7109375" style="5" customWidth="1"/>
    <col min="1398" max="1398" width="13" style="5" customWidth="1"/>
    <col min="1399" max="1410" width="11.7109375" style="5" customWidth="1"/>
    <col min="1411" max="1411" width="12.5703125" style="5" customWidth="1"/>
    <col min="1412" max="1412" width="11.7109375" style="5" customWidth="1"/>
    <col min="1413" max="1413" width="13" style="5" customWidth="1"/>
    <col min="1414" max="1419" width="11.7109375" style="5" customWidth="1"/>
    <col min="1420" max="1420" width="13.7109375" style="5" customWidth="1"/>
    <col min="1421" max="1421" width="13.140625" style="5" customWidth="1"/>
    <col min="1422" max="1425" width="13" style="5" customWidth="1"/>
    <col min="1426" max="1432" width="11.7109375" style="5" customWidth="1"/>
    <col min="1433" max="1433" width="10.85546875" style="5" customWidth="1"/>
    <col min="1434" max="1434" width="11.7109375" style="5" customWidth="1"/>
    <col min="1435" max="1437" width="22.7109375" style="5" customWidth="1"/>
    <col min="1438" max="1440" width="20.7109375" style="5" customWidth="1"/>
    <col min="1441" max="1628" width="8.85546875" style="5"/>
    <col min="1629" max="1629" width="6.140625" style="5" customWidth="1"/>
    <col min="1630" max="1630" width="20.28515625" style="5" customWidth="1"/>
    <col min="1631" max="1631" width="12.42578125" style="5" customWidth="1"/>
    <col min="1632" max="1632" width="13" style="5" customWidth="1"/>
    <col min="1633" max="1633" width="12.5703125" style="5" customWidth="1"/>
    <col min="1634" max="1647" width="11.7109375" style="5" customWidth="1"/>
    <col min="1648" max="1648" width="12.28515625" style="5" customWidth="1"/>
    <col min="1649" max="1649" width="11.7109375" style="5" customWidth="1"/>
    <col min="1650" max="1650" width="12.85546875" style="5" customWidth="1"/>
    <col min="1651" max="1651" width="11.7109375" style="5" customWidth="1"/>
    <col min="1652" max="1652" width="12.7109375" style="5" customWidth="1"/>
    <col min="1653" max="1653" width="11.7109375" style="5" customWidth="1"/>
    <col min="1654" max="1654" width="13" style="5" customWidth="1"/>
    <col min="1655" max="1666" width="11.7109375" style="5" customWidth="1"/>
    <col min="1667" max="1667" width="12.5703125" style="5" customWidth="1"/>
    <col min="1668" max="1668" width="11.7109375" style="5" customWidth="1"/>
    <col min="1669" max="1669" width="13" style="5" customWidth="1"/>
    <col min="1670" max="1675" width="11.7109375" style="5" customWidth="1"/>
    <col min="1676" max="1676" width="13.7109375" style="5" customWidth="1"/>
    <col min="1677" max="1677" width="13.140625" style="5" customWidth="1"/>
    <col min="1678" max="1681" width="13" style="5" customWidth="1"/>
    <col min="1682" max="1688" width="11.7109375" style="5" customWidth="1"/>
    <col min="1689" max="1689" width="10.85546875" style="5" customWidth="1"/>
    <col min="1690" max="1690" width="11.7109375" style="5" customWidth="1"/>
    <col min="1691" max="1693" width="22.7109375" style="5" customWidth="1"/>
    <col min="1694" max="1696" width="20.7109375" style="5" customWidth="1"/>
    <col min="1697" max="1884" width="8.85546875" style="5"/>
    <col min="1885" max="1885" width="6.140625" style="5" customWidth="1"/>
    <col min="1886" max="1886" width="20.28515625" style="5" customWidth="1"/>
    <col min="1887" max="1887" width="12.42578125" style="5" customWidth="1"/>
    <col min="1888" max="1888" width="13" style="5" customWidth="1"/>
    <col min="1889" max="1889" width="12.5703125" style="5" customWidth="1"/>
    <col min="1890" max="1903" width="11.7109375" style="5" customWidth="1"/>
    <col min="1904" max="1904" width="12.28515625" style="5" customWidth="1"/>
    <col min="1905" max="1905" width="11.7109375" style="5" customWidth="1"/>
    <col min="1906" max="1906" width="12.85546875" style="5" customWidth="1"/>
    <col min="1907" max="1907" width="11.7109375" style="5" customWidth="1"/>
    <col min="1908" max="1908" width="12.7109375" style="5" customWidth="1"/>
    <col min="1909" max="1909" width="11.7109375" style="5" customWidth="1"/>
    <col min="1910" max="1910" width="13" style="5" customWidth="1"/>
    <col min="1911" max="1922" width="11.7109375" style="5" customWidth="1"/>
    <col min="1923" max="1923" width="12.5703125" style="5" customWidth="1"/>
    <col min="1924" max="1924" width="11.7109375" style="5" customWidth="1"/>
    <col min="1925" max="1925" width="13" style="5" customWidth="1"/>
    <col min="1926" max="1931" width="11.7109375" style="5" customWidth="1"/>
    <col min="1932" max="1932" width="13.7109375" style="5" customWidth="1"/>
    <col min="1933" max="1933" width="13.140625" style="5" customWidth="1"/>
    <col min="1934" max="1937" width="13" style="5" customWidth="1"/>
    <col min="1938" max="1944" width="11.7109375" style="5" customWidth="1"/>
    <col min="1945" max="1945" width="10.85546875" style="5" customWidth="1"/>
    <col min="1946" max="1946" width="11.7109375" style="5" customWidth="1"/>
    <col min="1947" max="1949" width="22.7109375" style="5" customWidth="1"/>
    <col min="1950" max="1952" width="20.7109375" style="5" customWidth="1"/>
    <col min="1953" max="2140" width="8.85546875" style="5"/>
    <col min="2141" max="2141" width="6.140625" style="5" customWidth="1"/>
    <col min="2142" max="2142" width="20.28515625" style="5" customWidth="1"/>
    <col min="2143" max="2143" width="12.42578125" style="5" customWidth="1"/>
    <col min="2144" max="2144" width="13" style="5" customWidth="1"/>
    <col min="2145" max="2145" width="12.5703125" style="5" customWidth="1"/>
    <col min="2146" max="2159" width="11.7109375" style="5" customWidth="1"/>
    <col min="2160" max="2160" width="12.28515625" style="5" customWidth="1"/>
    <col min="2161" max="2161" width="11.7109375" style="5" customWidth="1"/>
    <col min="2162" max="2162" width="12.85546875" style="5" customWidth="1"/>
    <col min="2163" max="2163" width="11.7109375" style="5" customWidth="1"/>
    <col min="2164" max="2164" width="12.7109375" style="5" customWidth="1"/>
    <col min="2165" max="2165" width="11.7109375" style="5" customWidth="1"/>
    <col min="2166" max="2166" width="13" style="5" customWidth="1"/>
    <col min="2167" max="2178" width="11.7109375" style="5" customWidth="1"/>
    <col min="2179" max="2179" width="12.5703125" style="5" customWidth="1"/>
    <col min="2180" max="2180" width="11.7109375" style="5" customWidth="1"/>
    <col min="2181" max="2181" width="13" style="5" customWidth="1"/>
    <col min="2182" max="2187" width="11.7109375" style="5" customWidth="1"/>
    <col min="2188" max="2188" width="13.7109375" style="5" customWidth="1"/>
    <col min="2189" max="2189" width="13.140625" style="5" customWidth="1"/>
    <col min="2190" max="2193" width="13" style="5" customWidth="1"/>
    <col min="2194" max="2200" width="11.7109375" style="5" customWidth="1"/>
    <col min="2201" max="2201" width="10.85546875" style="5" customWidth="1"/>
    <col min="2202" max="2202" width="11.7109375" style="5" customWidth="1"/>
    <col min="2203" max="2205" width="22.7109375" style="5" customWidth="1"/>
    <col min="2206" max="2208" width="20.7109375" style="5" customWidth="1"/>
    <col min="2209" max="2396" width="8.85546875" style="5"/>
    <col min="2397" max="2397" width="6.140625" style="5" customWidth="1"/>
    <col min="2398" max="2398" width="20.28515625" style="5" customWidth="1"/>
    <col min="2399" max="2399" width="12.42578125" style="5" customWidth="1"/>
    <col min="2400" max="2400" width="13" style="5" customWidth="1"/>
    <col min="2401" max="2401" width="12.5703125" style="5" customWidth="1"/>
    <col min="2402" max="2415" width="11.7109375" style="5" customWidth="1"/>
    <col min="2416" max="2416" width="12.28515625" style="5" customWidth="1"/>
    <col min="2417" max="2417" width="11.7109375" style="5" customWidth="1"/>
    <col min="2418" max="2418" width="12.85546875" style="5" customWidth="1"/>
    <col min="2419" max="2419" width="11.7109375" style="5" customWidth="1"/>
    <col min="2420" max="2420" width="12.7109375" style="5" customWidth="1"/>
    <col min="2421" max="2421" width="11.7109375" style="5" customWidth="1"/>
    <col min="2422" max="2422" width="13" style="5" customWidth="1"/>
    <col min="2423" max="2434" width="11.7109375" style="5" customWidth="1"/>
    <col min="2435" max="2435" width="12.5703125" style="5" customWidth="1"/>
    <col min="2436" max="2436" width="11.7109375" style="5" customWidth="1"/>
    <col min="2437" max="2437" width="13" style="5" customWidth="1"/>
    <col min="2438" max="2443" width="11.7109375" style="5" customWidth="1"/>
    <col min="2444" max="2444" width="13.7109375" style="5" customWidth="1"/>
    <col min="2445" max="2445" width="13.140625" style="5" customWidth="1"/>
    <col min="2446" max="2449" width="13" style="5" customWidth="1"/>
    <col min="2450" max="2456" width="11.7109375" style="5" customWidth="1"/>
    <col min="2457" max="2457" width="10.85546875" style="5" customWidth="1"/>
    <col min="2458" max="2458" width="11.7109375" style="5" customWidth="1"/>
    <col min="2459" max="2461" width="22.7109375" style="5" customWidth="1"/>
    <col min="2462" max="2464" width="20.7109375" style="5" customWidth="1"/>
    <col min="2465" max="2652" width="8.85546875" style="5"/>
    <col min="2653" max="2653" width="6.140625" style="5" customWidth="1"/>
    <col min="2654" max="2654" width="20.28515625" style="5" customWidth="1"/>
    <col min="2655" max="2655" width="12.42578125" style="5" customWidth="1"/>
    <col min="2656" max="2656" width="13" style="5" customWidth="1"/>
    <col min="2657" max="2657" width="12.5703125" style="5" customWidth="1"/>
    <col min="2658" max="2671" width="11.7109375" style="5" customWidth="1"/>
    <col min="2672" max="2672" width="12.28515625" style="5" customWidth="1"/>
    <col min="2673" max="2673" width="11.7109375" style="5" customWidth="1"/>
    <col min="2674" max="2674" width="12.85546875" style="5" customWidth="1"/>
    <col min="2675" max="2675" width="11.7109375" style="5" customWidth="1"/>
    <col min="2676" max="2676" width="12.7109375" style="5" customWidth="1"/>
    <col min="2677" max="2677" width="11.7109375" style="5" customWidth="1"/>
    <col min="2678" max="2678" width="13" style="5" customWidth="1"/>
    <col min="2679" max="2690" width="11.7109375" style="5" customWidth="1"/>
    <col min="2691" max="2691" width="12.5703125" style="5" customWidth="1"/>
    <col min="2692" max="2692" width="11.7109375" style="5" customWidth="1"/>
    <col min="2693" max="2693" width="13" style="5" customWidth="1"/>
    <col min="2694" max="2699" width="11.7109375" style="5" customWidth="1"/>
    <col min="2700" max="2700" width="13.7109375" style="5" customWidth="1"/>
    <col min="2701" max="2701" width="13.140625" style="5" customWidth="1"/>
    <col min="2702" max="2705" width="13" style="5" customWidth="1"/>
    <col min="2706" max="2712" width="11.7109375" style="5" customWidth="1"/>
    <col min="2713" max="2713" width="10.85546875" style="5" customWidth="1"/>
    <col min="2714" max="2714" width="11.7109375" style="5" customWidth="1"/>
    <col min="2715" max="2717" width="22.7109375" style="5" customWidth="1"/>
    <col min="2718" max="2720" width="20.7109375" style="5" customWidth="1"/>
    <col min="2721" max="2908" width="8.85546875" style="5"/>
    <col min="2909" max="2909" width="6.140625" style="5" customWidth="1"/>
    <col min="2910" max="2910" width="20.28515625" style="5" customWidth="1"/>
    <col min="2911" max="2911" width="12.42578125" style="5" customWidth="1"/>
    <col min="2912" max="2912" width="13" style="5" customWidth="1"/>
    <col min="2913" max="2913" width="12.5703125" style="5" customWidth="1"/>
    <col min="2914" max="2927" width="11.7109375" style="5" customWidth="1"/>
    <col min="2928" max="2928" width="12.28515625" style="5" customWidth="1"/>
    <col min="2929" max="2929" width="11.7109375" style="5" customWidth="1"/>
    <col min="2930" max="2930" width="12.85546875" style="5" customWidth="1"/>
    <col min="2931" max="2931" width="11.7109375" style="5" customWidth="1"/>
    <col min="2932" max="2932" width="12.7109375" style="5" customWidth="1"/>
    <col min="2933" max="2933" width="11.7109375" style="5" customWidth="1"/>
    <col min="2934" max="2934" width="13" style="5" customWidth="1"/>
    <col min="2935" max="2946" width="11.7109375" style="5" customWidth="1"/>
    <col min="2947" max="2947" width="12.5703125" style="5" customWidth="1"/>
    <col min="2948" max="2948" width="11.7109375" style="5" customWidth="1"/>
    <col min="2949" max="2949" width="13" style="5" customWidth="1"/>
    <col min="2950" max="2955" width="11.7109375" style="5" customWidth="1"/>
    <col min="2956" max="2956" width="13.7109375" style="5" customWidth="1"/>
    <col min="2957" max="2957" width="13.140625" style="5" customWidth="1"/>
    <col min="2958" max="2961" width="13" style="5" customWidth="1"/>
    <col min="2962" max="2968" width="11.7109375" style="5" customWidth="1"/>
    <col min="2969" max="2969" width="10.85546875" style="5" customWidth="1"/>
    <col min="2970" max="2970" width="11.7109375" style="5" customWidth="1"/>
    <col min="2971" max="2973" width="22.7109375" style="5" customWidth="1"/>
    <col min="2974" max="2976" width="20.7109375" style="5" customWidth="1"/>
    <col min="2977" max="3164" width="8.85546875" style="5"/>
    <col min="3165" max="3165" width="6.140625" style="5" customWidth="1"/>
    <col min="3166" max="3166" width="20.28515625" style="5" customWidth="1"/>
    <col min="3167" max="3167" width="12.42578125" style="5" customWidth="1"/>
    <col min="3168" max="3168" width="13" style="5" customWidth="1"/>
    <col min="3169" max="3169" width="12.5703125" style="5" customWidth="1"/>
    <col min="3170" max="3183" width="11.7109375" style="5" customWidth="1"/>
    <col min="3184" max="3184" width="12.28515625" style="5" customWidth="1"/>
    <col min="3185" max="3185" width="11.7109375" style="5" customWidth="1"/>
    <col min="3186" max="3186" width="12.85546875" style="5" customWidth="1"/>
    <col min="3187" max="3187" width="11.7109375" style="5" customWidth="1"/>
    <col min="3188" max="3188" width="12.7109375" style="5" customWidth="1"/>
    <col min="3189" max="3189" width="11.7109375" style="5" customWidth="1"/>
    <col min="3190" max="3190" width="13" style="5" customWidth="1"/>
    <col min="3191" max="3202" width="11.7109375" style="5" customWidth="1"/>
    <col min="3203" max="3203" width="12.5703125" style="5" customWidth="1"/>
    <col min="3204" max="3204" width="11.7109375" style="5" customWidth="1"/>
    <col min="3205" max="3205" width="13" style="5" customWidth="1"/>
    <col min="3206" max="3211" width="11.7109375" style="5" customWidth="1"/>
    <col min="3212" max="3212" width="13.7109375" style="5" customWidth="1"/>
    <col min="3213" max="3213" width="13.140625" style="5" customWidth="1"/>
    <col min="3214" max="3217" width="13" style="5" customWidth="1"/>
    <col min="3218" max="3224" width="11.7109375" style="5" customWidth="1"/>
    <col min="3225" max="3225" width="10.85546875" style="5" customWidth="1"/>
    <col min="3226" max="3226" width="11.7109375" style="5" customWidth="1"/>
    <col min="3227" max="3229" width="22.7109375" style="5" customWidth="1"/>
    <col min="3230" max="3232" width="20.7109375" style="5" customWidth="1"/>
    <col min="3233" max="3420" width="8.85546875" style="5"/>
    <col min="3421" max="3421" width="6.140625" style="5" customWidth="1"/>
    <col min="3422" max="3422" width="20.28515625" style="5" customWidth="1"/>
    <col min="3423" max="3423" width="12.42578125" style="5" customWidth="1"/>
    <col min="3424" max="3424" width="13" style="5" customWidth="1"/>
    <col min="3425" max="3425" width="12.5703125" style="5" customWidth="1"/>
    <col min="3426" max="3439" width="11.7109375" style="5" customWidth="1"/>
    <col min="3440" max="3440" width="12.28515625" style="5" customWidth="1"/>
    <col min="3441" max="3441" width="11.7109375" style="5" customWidth="1"/>
    <col min="3442" max="3442" width="12.85546875" style="5" customWidth="1"/>
    <col min="3443" max="3443" width="11.7109375" style="5" customWidth="1"/>
    <col min="3444" max="3444" width="12.7109375" style="5" customWidth="1"/>
    <col min="3445" max="3445" width="11.7109375" style="5" customWidth="1"/>
    <col min="3446" max="3446" width="13" style="5" customWidth="1"/>
    <col min="3447" max="3458" width="11.7109375" style="5" customWidth="1"/>
    <col min="3459" max="3459" width="12.5703125" style="5" customWidth="1"/>
    <col min="3460" max="3460" width="11.7109375" style="5" customWidth="1"/>
    <col min="3461" max="3461" width="13" style="5" customWidth="1"/>
    <col min="3462" max="3467" width="11.7109375" style="5" customWidth="1"/>
    <col min="3468" max="3468" width="13.7109375" style="5" customWidth="1"/>
    <col min="3469" max="3469" width="13.140625" style="5" customWidth="1"/>
    <col min="3470" max="3473" width="13" style="5" customWidth="1"/>
    <col min="3474" max="3480" width="11.7109375" style="5" customWidth="1"/>
    <col min="3481" max="3481" width="10.85546875" style="5" customWidth="1"/>
    <col min="3482" max="3482" width="11.7109375" style="5" customWidth="1"/>
    <col min="3483" max="3485" width="22.7109375" style="5" customWidth="1"/>
    <col min="3486" max="3488" width="20.7109375" style="5" customWidth="1"/>
    <col min="3489" max="3676" width="8.85546875" style="5"/>
    <col min="3677" max="3677" width="6.140625" style="5" customWidth="1"/>
    <col min="3678" max="3678" width="20.28515625" style="5" customWidth="1"/>
    <col min="3679" max="3679" width="12.42578125" style="5" customWidth="1"/>
    <col min="3680" max="3680" width="13" style="5" customWidth="1"/>
    <col min="3681" max="3681" width="12.5703125" style="5" customWidth="1"/>
    <col min="3682" max="3695" width="11.7109375" style="5" customWidth="1"/>
    <col min="3696" max="3696" width="12.28515625" style="5" customWidth="1"/>
    <col min="3697" max="3697" width="11.7109375" style="5" customWidth="1"/>
    <col min="3698" max="3698" width="12.85546875" style="5" customWidth="1"/>
    <col min="3699" max="3699" width="11.7109375" style="5" customWidth="1"/>
    <col min="3700" max="3700" width="12.7109375" style="5" customWidth="1"/>
    <col min="3701" max="3701" width="11.7109375" style="5" customWidth="1"/>
    <col min="3702" max="3702" width="13" style="5" customWidth="1"/>
    <col min="3703" max="3714" width="11.7109375" style="5" customWidth="1"/>
    <col min="3715" max="3715" width="12.5703125" style="5" customWidth="1"/>
    <col min="3716" max="3716" width="11.7109375" style="5" customWidth="1"/>
    <col min="3717" max="3717" width="13" style="5" customWidth="1"/>
    <col min="3718" max="3723" width="11.7109375" style="5" customWidth="1"/>
    <col min="3724" max="3724" width="13.7109375" style="5" customWidth="1"/>
    <col min="3725" max="3725" width="13.140625" style="5" customWidth="1"/>
    <col min="3726" max="3729" width="13" style="5" customWidth="1"/>
    <col min="3730" max="3736" width="11.7109375" style="5" customWidth="1"/>
    <col min="3737" max="3737" width="10.85546875" style="5" customWidth="1"/>
    <col min="3738" max="3738" width="11.7109375" style="5" customWidth="1"/>
    <col min="3739" max="3741" width="22.7109375" style="5" customWidth="1"/>
    <col min="3742" max="3744" width="20.7109375" style="5" customWidth="1"/>
    <col min="3745" max="3932" width="8.85546875" style="5"/>
    <col min="3933" max="3933" width="6.140625" style="5" customWidth="1"/>
    <col min="3934" max="3934" width="20.28515625" style="5" customWidth="1"/>
    <col min="3935" max="3935" width="12.42578125" style="5" customWidth="1"/>
    <col min="3936" max="3936" width="13" style="5" customWidth="1"/>
    <col min="3937" max="3937" width="12.5703125" style="5" customWidth="1"/>
    <col min="3938" max="3951" width="11.7109375" style="5" customWidth="1"/>
    <col min="3952" max="3952" width="12.28515625" style="5" customWidth="1"/>
    <col min="3953" max="3953" width="11.7109375" style="5" customWidth="1"/>
    <col min="3954" max="3954" width="12.85546875" style="5" customWidth="1"/>
    <col min="3955" max="3955" width="11.7109375" style="5" customWidth="1"/>
    <col min="3956" max="3956" width="12.7109375" style="5" customWidth="1"/>
    <col min="3957" max="3957" width="11.7109375" style="5" customWidth="1"/>
    <col min="3958" max="3958" width="13" style="5" customWidth="1"/>
    <col min="3959" max="3970" width="11.7109375" style="5" customWidth="1"/>
    <col min="3971" max="3971" width="12.5703125" style="5" customWidth="1"/>
    <col min="3972" max="3972" width="11.7109375" style="5" customWidth="1"/>
    <col min="3973" max="3973" width="13" style="5" customWidth="1"/>
    <col min="3974" max="3979" width="11.7109375" style="5" customWidth="1"/>
    <col min="3980" max="3980" width="13.7109375" style="5" customWidth="1"/>
    <col min="3981" max="3981" width="13.140625" style="5" customWidth="1"/>
    <col min="3982" max="3985" width="13" style="5" customWidth="1"/>
    <col min="3986" max="3992" width="11.7109375" style="5" customWidth="1"/>
    <col min="3993" max="3993" width="10.85546875" style="5" customWidth="1"/>
    <col min="3994" max="3994" width="11.7109375" style="5" customWidth="1"/>
    <col min="3995" max="3997" width="22.7109375" style="5" customWidth="1"/>
    <col min="3998" max="4000" width="20.7109375" style="5" customWidth="1"/>
    <col min="4001" max="4188" width="8.85546875" style="5"/>
    <col min="4189" max="4189" width="6.140625" style="5" customWidth="1"/>
    <col min="4190" max="4190" width="20.28515625" style="5" customWidth="1"/>
    <col min="4191" max="4191" width="12.42578125" style="5" customWidth="1"/>
    <col min="4192" max="4192" width="13" style="5" customWidth="1"/>
    <col min="4193" max="4193" width="12.5703125" style="5" customWidth="1"/>
    <col min="4194" max="4207" width="11.7109375" style="5" customWidth="1"/>
    <col min="4208" max="4208" width="12.28515625" style="5" customWidth="1"/>
    <col min="4209" max="4209" width="11.7109375" style="5" customWidth="1"/>
    <col min="4210" max="4210" width="12.85546875" style="5" customWidth="1"/>
    <col min="4211" max="4211" width="11.7109375" style="5" customWidth="1"/>
    <col min="4212" max="4212" width="12.7109375" style="5" customWidth="1"/>
    <col min="4213" max="4213" width="11.7109375" style="5" customWidth="1"/>
    <col min="4214" max="4214" width="13" style="5" customWidth="1"/>
    <col min="4215" max="4226" width="11.7109375" style="5" customWidth="1"/>
    <col min="4227" max="4227" width="12.5703125" style="5" customWidth="1"/>
    <col min="4228" max="4228" width="11.7109375" style="5" customWidth="1"/>
    <col min="4229" max="4229" width="13" style="5" customWidth="1"/>
    <col min="4230" max="4235" width="11.7109375" style="5" customWidth="1"/>
    <col min="4236" max="4236" width="13.7109375" style="5" customWidth="1"/>
    <col min="4237" max="4237" width="13.140625" style="5" customWidth="1"/>
    <col min="4238" max="4241" width="13" style="5" customWidth="1"/>
    <col min="4242" max="4248" width="11.7109375" style="5" customWidth="1"/>
    <col min="4249" max="4249" width="10.85546875" style="5" customWidth="1"/>
    <col min="4250" max="4250" width="11.7109375" style="5" customWidth="1"/>
    <col min="4251" max="4253" width="22.7109375" style="5" customWidth="1"/>
    <col min="4254" max="4256" width="20.7109375" style="5" customWidth="1"/>
    <col min="4257" max="4444" width="8.85546875" style="5"/>
    <col min="4445" max="4445" width="6.140625" style="5" customWidth="1"/>
    <col min="4446" max="4446" width="20.28515625" style="5" customWidth="1"/>
    <col min="4447" max="4447" width="12.42578125" style="5" customWidth="1"/>
    <col min="4448" max="4448" width="13" style="5" customWidth="1"/>
    <col min="4449" max="4449" width="12.5703125" style="5" customWidth="1"/>
    <col min="4450" max="4463" width="11.7109375" style="5" customWidth="1"/>
    <col min="4464" max="4464" width="12.28515625" style="5" customWidth="1"/>
    <col min="4465" max="4465" width="11.7109375" style="5" customWidth="1"/>
    <col min="4466" max="4466" width="12.85546875" style="5" customWidth="1"/>
    <col min="4467" max="4467" width="11.7109375" style="5" customWidth="1"/>
    <col min="4468" max="4468" width="12.7109375" style="5" customWidth="1"/>
    <col min="4469" max="4469" width="11.7109375" style="5" customWidth="1"/>
    <col min="4470" max="4470" width="13" style="5" customWidth="1"/>
    <col min="4471" max="4482" width="11.7109375" style="5" customWidth="1"/>
    <col min="4483" max="4483" width="12.5703125" style="5" customWidth="1"/>
    <col min="4484" max="4484" width="11.7109375" style="5" customWidth="1"/>
    <col min="4485" max="4485" width="13" style="5" customWidth="1"/>
    <col min="4486" max="4491" width="11.7109375" style="5" customWidth="1"/>
    <col min="4492" max="4492" width="13.7109375" style="5" customWidth="1"/>
    <col min="4493" max="4493" width="13.140625" style="5" customWidth="1"/>
    <col min="4494" max="4497" width="13" style="5" customWidth="1"/>
    <col min="4498" max="4504" width="11.7109375" style="5" customWidth="1"/>
    <col min="4505" max="4505" width="10.85546875" style="5" customWidth="1"/>
    <col min="4506" max="4506" width="11.7109375" style="5" customWidth="1"/>
    <col min="4507" max="4509" width="22.7109375" style="5" customWidth="1"/>
    <col min="4510" max="4512" width="20.7109375" style="5" customWidth="1"/>
    <col min="4513" max="4700" width="8.85546875" style="5"/>
    <col min="4701" max="4701" width="6.140625" style="5" customWidth="1"/>
    <col min="4702" max="4702" width="20.28515625" style="5" customWidth="1"/>
    <col min="4703" max="4703" width="12.42578125" style="5" customWidth="1"/>
    <col min="4704" max="4704" width="13" style="5" customWidth="1"/>
    <col min="4705" max="4705" width="12.5703125" style="5" customWidth="1"/>
    <col min="4706" max="4719" width="11.7109375" style="5" customWidth="1"/>
    <col min="4720" max="4720" width="12.28515625" style="5" customWidth="1"/>
    <col min="4721" max="4721" width="11.7109375" style="5" customWidth="1"/>
    <col min="4722" max="4722" width="12.85546875" style="5" customWidth="1"/>
    <col min="4723" max="4723" width="11.7109375" style="5" customWidth="1"/>
    <col min="4724" max="4724" width="12.7109375" style="5" customWidth="1"/>
    <col min="4725" max="4725" width="11.7109375" style="5" customWidth="1"/>
    <col min="4726" max="4726" width="13" style="5" customWidth="1"/>
    <col min="4727" max="4738" width="11.7109375" style="5" customWidth="1"/>
    <col min="4739" max="4739" width="12.5703125" style="5" customWidth="1"/>
    <col min="4740" max="4740" width="11.7109375" style="5" customWidth="1"/>
    <col min="4741" max="4741" width="13" style="5" customWidth="1"/>
    <col min="4742" max="4747" width="11.7109375" style="5" customWidth="1"/>
    <col min="4748" max="4748" width="13.7109375" style="5" customWidth="1"/>
    <col min="4749" max="4749" width="13.140625" style="5" customWidth="1"/>
    <col min="4750" max="4753" width="13" style="5" customWidth="1"/>
    <col min="4754" max="4760" width="11.7109375" style="5" customWidth="1"/>
    <col min="4761" max="4761" width="10.85546875" style="5" customWidth="1"/>
    <col min="4762" max="4762" width="11.7109375" style="5" customWidth="1"/>
    <col min="4763" max="4765" width="22.7109375" style="5" customWidth="1"/>
    <col min="4766" max="4768" width="20.7109375" style="5" customWidth="1"/>
    <col min="4769" max="4956" width="8.85546875" style="5"/>
    <col min="4957" max="4957" width="6.140625" style="5" customWidth="1"/>
    <col min="4958" max="4958" width="20.28515625" style="5" customWidth="1"/>
    <col min="4959" max="4959" width="12.42578125" style="5" customWidth="1"/>
    <col min="4960" max="4960" width="13" style="5" customWidth="1"/>
    <col min="4961" max="4961" width="12.5703125" style="5" customWidth="1"/>
    <col min="4962" max="4975" width="11.7109375" style="5" customWidth="1"/>
    <col min="4976" max="4976" width="12.28515625" style="5" customWidth="1"/>
    <col min="4977" max="4977" width="11.7109375" style="5" customWidth="1"/>
    <col min="4978" max="4978" width="12.85546875" style="5" customWidth="1"/>
    <col min="4979" max="4979" width="11.7109375" style="5" customWidth="1"/>
    <col min="4980" max="4980" width="12.7109375" style="5" customWidth="1"/>
    <col min="4981" max="4981" width="11.7109375" style="5" customWidth="1"/>
    <col min="4982" max="4982" width="13" style="5" customWidth="1"/>
    <col min="4983" max="4994" width="11.7109375" style="5" customWidth="1"/>
    <col min="4995" max="4995" width="12.5703125" style="5" customWidth="1"/>
    <col min="4996" max="4996" width="11.7109375" style="5" customWidth="1"/>
    <col min="4997" max="4997" width="13" style="5" customWidth="1"/>
    <col min="4998" max="5003" width="11.7109375" style="5" customWidth="1"/>
    <col min="5004" max="5004" width="13.7109375" style="5" customWidth="1"/>
    <col min="5005" max="5005" width="13.140625" style="5" customWidth="1"/>
    <col min="5006" max="5009" width="13" style="5" customWidth="1"/>
    <col min="5010" max="5016" width="11.7109375" style="5" customWidth="1"/>
    <col min="5017" max="5017" width="10.85546875" style="5" customWidth="1"/>
    <col min="5018" max="5018" width="11.7109375" style="5" customWidth="1"/>
    <col min="5019" max="5021" width="22.7109375" style="5" customWidth="1"/>
    <col min="5022" max="5024" width="20.7109375" style="5" customWidth="1"/>
    <col min="5025" max="5212" width="8.85546875" style="5"/>
    <col min="5213" max="5213" width="6.140625" style="5" customWidth="1"/>
    <col min="5214" max="5214" width="20.28515625" style="5" customWidth="1"/>
    <col min="5215" max="5215" width="12.42578125" style="5" customWidth="1"/>
    <col min="5216" max="5216" width="13" style="5" customWidth="1"/>
    <col min="5217" max="5217" width="12.5703125" style="5" customWidth="1"/>
    <col min="5218" max="5231" width="11.7109375" style="5" customWidth="1"/>
    <col min="5232" max="5232" width="12.28515625" style="5" customWidth="1"/>
    <col min="5233" max="5233" width="11.7109375" style="5" customWidth="1"/>
    <col min="5234" max="5234" width="12.85546875" style="5" customWidth="1"/>
    <col min="5235" max="5235" width="11.7109375" style="5" customWidth="1"/>
    <col min="5236" max="5236" width="12.7109375" style="5" customWidth="1"/>
    <col min="5237" max="5237" width="11.7109375" style="5" customWidth="1"/>
    <col min="5238" max="5238" width="13" style="5" customWidth="1"/>
    <col min="5239" max="5250" width="11.7109375" style="5" customWidth="1"/>
    <col min="5251" max="5251" width="12.5703125" style="5" customWidth="1"/>
    <col min="5252" max="5252" width="11.7109375" style="5" customWidth="1"/>
    <col min="5253" max="5253" width="13" style="5" customWidth="1"/>
    <col min="5254" max="5259" width="11.7109375" style="5" customWidth="1"/>
    <col min="5260" max="5260" width="13.7109375" style="5" customWidth="1"/>
    <col min="5261" max="5261" width="13.140625" style="5" customWidth="1"/>
    <col min="5262" max="5265" width="13" style="5" customWidth="1"/>
    <col min="5266" max="5272" width="11.7109375" style="5" customWidth="1"/>
    <col min="5273" max="5273" width="10.85546875" style="5" customWidth="1"/>
    <col min="5274" max="5274" width="11.7109375" style="5" customWidth="1"/>
    <col min="5275" max="5277" width="22.7109375" style="5" customWidth="1"/>
    <col min="5278" max="5280" width="20.7109375" style="5" customWidth="1"/>
    <col min="5281" max="5468" width="8.85546875" style="5"/>
    <col min="5469" max="5469" width="6.140625" style="5" customWidth="1"/>
    <col min="5470" max="5470" width="20.28515625" style="5" customWidth="1"/>
    <col min="5471" max="5471" width="12.42578125" style="5" customWidth="1"/>
    <col min="5472" max="5472" width="13" style="5" customWidth="1"/>
    <col min="5473" max="5473" width="12.5703125" style="5" customWidth="1"/>
    <col min="5474" max="5487" width="11.7109375" style="5" customWidth="1"/>
    <col min="5488" max="5488" width="12.28515625" style="5" customWidth="1"/>
    <col min="5489" max="5489" width="11.7109375" style="5" customWidth="1"/>
    <col min="5490" max="5490" width="12.85546875" style="5" customWidth="1"/>
    <col min="5491" max="5491" width="11.7109375" style="5" customWidth="1"/>
    <col min="5492" max="5492" width="12.7109375" style="5" customWidth="1"/>
    <col min="5493" max="5493" width="11.7109375" style="5" customWidth="1"/>
    <col min="5494" max="5494" width="13" style="5" customWidth="1"/>
    <col min="5495" max="5506" width="11.7109375" style="5" customWidth="1"/>
    <col min="5507" max="5507" width="12.5703125" style="5" customWidth="1"/>
    <col min="5508" max="5508" width="11.7109375" style="5" customWidth="1"/>
    <col min="5509" max="5509" width="13" style="5" customWidth="1"/>
    <col min="5510" max="5515" width="11.7109375" style="5" customWidth="1"/>
    <col min="5516" max="5516" width="13.7109375" style="5" customWidth="1"/>
    <col min="5517" max="5517" width="13.140625" style="5" customWidth="1"/>
    <col min="5518" max="5521" width="13" style="5" customWidth="1"/>
    <col min="5522" max="5528" width="11.7109375" style="5" customWidth="1"/>
    <col min="5529" max="5529" width="10.85546875" style="5" customWidth="1"/>
    <col min="5530" max="5530" width="11.7109375" style="5" customWidth="1"/>
    <col min="5531" max="5533" width="22.7109375" style="5" customWidth="1"/>
    <col min="5534" max="5536" width="20.7109375" style="5" customWidth="1"/>
    <col min="5537" max="5724" width="8.85546875" style="5"/>
    <col min="5725" max="5725" width="6.140625" style="5" customWidth="1"/>
    <col min="5726" max="5726" width="20.28515625" style="5" customWidth="1"/>
    <col min="5727" max="5727" width="12.42578125" style="5" customWidth="1"/>
    <col min="5728" max="5728" width="13" style="5" customWidth="1"/>
    <col min="5729" max="5729" width="12.5703125" style="5" customWidth="1"/>
    <col min="5730" max="5743" width="11.7109375" style="5" customWidth="1"/>
    <col min="5744" max="5744" width="12.28515625" style="5" customWidth="1"/>
    <col min="5745" max="5745" width="11.7109375" style="5" customWidth="1"/>
    <col min="5746" max="5746" width="12.85546875" style="5" customWidth="1"/>
    <col min="5747" max="5747" width="11.7109375" style="5" customWidth="1"/>
    <col min="5748" max="5748" width="12.7109375" style="5" customWidth="1"/>
    <col min="5749" max="5749" width="11.7109375" style="5" customWidth="1"/>
    <col min="5750" max="5750" width="13" style="5" customWidth="1"/>
    <col min="5751" max="5762" width="11.7109375" style="5" customWidth="1"/>
    <col min="5763" max="5763" width="12.5703125" style="5" customWidth="1"/>
    <col min="5764" max="5764" width="11.7109375" style="5" customWidth="1"/>
    <col min="5765" max="5765" width="13" style="5" customWidth="1"/>
    <col min="5766" max="5771" width="11.7109375" style="5" customWidth="1"/>
    <col min="5772" max="5772" width="13.7109375" style="5" customWidth="1"/>
    <col min="5773" max="5773" width="13.140625" style="5" customWidth="1"/>
    <col min="5774" max="5777" width="13" style="5" customWidth="1"/>
    <col min="5778" max="5784" width="11.7109375" style="5" customWidth="1"/>
    <col min="5785" max="5785" width="10.85546875" style="5" customWidth="1"/>
    <col min="5786" max="5786" width="11.7109375" style="5" customWidth="1"/>
    <col min="5787" max="5789" width="22.7109375" style="5" customWidth="1"/>
    <col min="5790" max="5792" width="20.7109375" style="5" customWidth="1"/>
    <col min="5793" max="5980" width="8.85546875" style="5"/>
    <col min="5981" max="5981" width="6.140625" style="5" customWidth="1"/>
    <col min="5982" max="5982" width="20.28515625" style="5" customWidth="1"/>
    <col min="5983" max="5983" width="12.42578125" style="5" customWidth="1"/>
    <col min="5984" max="5984" width="13" style="5" customWidth="1"/>
    <col min="5985" max="5985" width="12.5703125" style="5" customWidth="1"/>
    <col min="5986" max="5999" width="11.7109375" style="5" customWidth="1"/>
    <col min="6000" max="6000" width="12.28515625" style="5" customWidth="1"/>
    <col min="6001" max="6001" width="11.7109375" style="5" customWidth="1"/>
    <col min="6002" max="6002" width="12.85546875" style="5" customWidth="1"/>
    <col min="6003" max="6003" width="11.7109375" style="5" customWidth="1"/>
    <col min="6004" max="6004" width="12.7109375" style="5" customWidth="1"/>
    <col min="6005" max="6005" width="11.7109375" style="5" customWidth="1"/>
    <col min="6006" max="6006" width="13" style="5" customWidth="1"/>
    <col min="6007" max="6018" width="11.7109375" style="5" customWidth="1"/>
    <col min="6019" max="6019" width="12.5703125" style="5" customWidth="1"/>
    <col min="6020" max="6020" width="11.7109375" style="5" customWidth="1"/>
    <col min="6021" max="6021" width="13" style="5" customWidth="1"/>
    <col min="6022" max="6027" width="11.7109375" style="5" customWidth="1"/>
    <col min="6028" max="6028" width="13.7109375" style="5" customWidth="1"/>
    <col min="6029" max="6029" width="13.140625" style="5" customWidth="1"/>
    <col min="6030" max="6033" width="13" style="5" customWidth="1"/>
    <col min="6034" max="6040" width="11.7109375" style="5" customWidth="1"/>
    <col min="6041" max="6041" width="10.85546875" style="5" customWidth="1"/>
    <col min="6042" max="6042" width="11.7109375" style="5" customWidth="1"/>
    <col min="6043" max="6045" width="22.7109375" style="5" customWidth="1"/>
    <col min="6046" max="6048" width="20.7109375" style="5" customWidth="1"/>
    <col min="6049" max="6236" width="8.85546875" style="5"/>
    <col min="6237" max="6237" width="6.140625" style="5" customWidth="1"/>
    <col min="6238" max="6238" width="20.28515625" style="5" customWidth="1"/>
    <col min="6239" max="6239" width="12.42578125" style="5" customWidth="1"/>
    <col min="6240" max="6240" width="13" style="5" customWidth="1"/>
    <col min="6241" max="6241" width="12.5703125" style="5" customWidth="1"/>
    <col min="6242" max="6255" width="11.7109375" style="5" customWidth="1"/>
    <col min="6256" max="6256" width="12.28515625" style="5" customWidth="1"/>
    <col min="6257" max="6257" width="11.7109375" style="5" customWidth="1"/>
    <col min="6258" max="6258" width="12.85546875" style="5" customWidth="1"/>
    <col min="6259" max="6259" width="11.7109375" style="5" customWidth="1"/>
    <col min="6260" max="6260" width="12.7109375" style="5" customWidth="1"/>
    <col min="6261" max="6261" width="11.7109375" style="5" customWidth="1"/>
    <col min="6262" max="6262" width="13" style="5" customWidth="1"/>
    <col min="6263" max="6274" width="11.7109375" style="5" customWidth="1"/>
    <col min="6275" max="6275" width="12.5703125" style="5" customWidth="1"/>
    <col min="6276" max="6276" width="11.7109375" style="5" customWidth="1"/>
    <col min="6277" max="6277" width="13" style="5" customWidth="1"/>
    <col min="6278" max="6283" width="11.7109375" style="5" customWidth="1"/>
    <col min="6284" max="6284" width="13.7109375" style="5" customWidth="1"/>
    <col min="6285" max="6285" width="13.140625" style="5" customWidth="1"/>
    <col min="6286" max="6289" width="13" style="5" customWidth="1"/>
    <col min="6290" max="6296" width="11.7109375" style="5" customWidth="1"/>
    <col min="6297" max="6297" width="10.85546875" style="5" customWidth="1"/>
    <col min="6298" max="6298" width="11.7109375" style="5" customWidth="1"/>
    <col min="6299" max="6301" width="22.7109375" style="5" customWidth="1"/>
    <col min="6302" max="6304" width="20.7109375" style="5" customWidth="1"/>
    <col min="6305" max="6492" width="8.85546875" style="5"/>
    <col min="6493" max="6493" width="6.140625" style="5" customWidth="1"/>
    <col min="6494" max="6494" width="20.28515625" style="5" customWidth="1"/>
    <col min="6495" max="6495" width="12.42578125" style="5" customWidth="1"/>
    <col min="6496" max="6496" width="13" style="5" customWidth="1"/>
    <col min="6497" max="6497" width="12.5703125" style="5" customWidth="1"/>
    <col min="6498" max="6511" width="11.7109375" style="5" customWidth="1"/>
    <col min="6512" max="6512" width="12.28515625" style="5" customWidth="1"/>
    <col min="6513" max="6513" width="11.7109375" style="5" customWidth="1"/>
    <col min="6514" max="6514" width="12.85546875" style="5" customWidth="1"/>
    <col min="6515" max="6515" width="11.7109375" style="5" customWidth="1"/>
    <col min="6516" max="6516" width="12.7109375" style="5" customWidth="1"/>
    <col min="6517" max="6517" width="11.7109375" style="5" customWidth="1"/>
    <col min="6518" max="6518" width="13" style="5" customWidth="1"/>
    <col min="6519" max="6530" width="11.7109375" style="5" customWidth="1"/>
    <col min="6531" max="6531" width="12.5703125" style="5" customWidth="1"/>
    <col min="6532" max="6532" width="11.7109375" style="5" customWidth="1"/>
    <col min="6533" max="6533" width="13" style="5" customWidth="1"/>
    <col min="6534" max="6539" width="11.7109375" style="5" customWidth="1"/>
    <col min="6540" max="6540" width="13.7109375" style="5" customWidth="1"/>
    <col min="6541" max="6541" width="13.140625" style="5" customWidth="1"/>
    <col min="6542" max="6545" width="13" style="5" customWidth="1"/>
    <col min="6546" max="6552" width="11.7109375" style="5" customWidth="1"/>
    <col min="6553" max="6553" width="10.85546875" style="5" customWidth="1"/>
    <col min="6554" max="6554" width="11.7109375" style="5" customWidth="1"/>
    <col min="6555" max="6557" width="22.7109375" style="5" customWidth="1"/>
    <col min="6558" max="6560" width="20.7109375" style="5" customWidth="1"/>
    <col min="6561" max="6748" width="8.85546875" style="5"/>
    <col min="6749" max="6749" width="6.140625" style="5" customWidth="1"/>
    <col min="6750" max="6750" width="20.28515625" style="5" customWidth="1"/>
    <col min="6751" max="6751" width="12.42578125" style="5" customWidth="1"/>
    <col min="6752" max="6752" width="13" style="5" customWidth="1"/>
    <col min="6753" max="6753" width="12.5703125" style="5" customWidth="1"/>
    <col min="6754" max="6767" width="11.7109375" style="5" customWidth="1"/>
    <col min="6768" max="6768" width="12.28515625" style="5" customWidth="1"/>
    <col min="6769" max="6769" width="11.7109375" style="5" customWidth="1"/>
    <col min="6770" max="6770" width="12.85546875" style="5" customWidth="1"/>
    <col min="6771" max="6771" width="11.7109375" style="5" customWidth="1"/>
    <col min="6772" max="6772" width="12.7109375" style="5" customWidth="1"/>
    <col min="6773" max="6773" width="11.7109375" style="5" customWidth="1"/>
    <col min="6774" max="6774" width="13" style="5" customWidth="1"/>
    <col min="6775" max="6786" width="11.7109375" style="5" customWidth="1"/>
    <col min="6787" max="6787" width="12.5703125" style="5" customWidth="1"/>
    <col min="6788" max="6788" width="11.7109375" style="5" customWidth="1"/>
    <col min="6789" max="6789" width="13" style="5" customWidth="1"/>
    <col min="6790" max="6795" width="11.7109375" style="5" customWidth="1"/>
    <col min="6796" max="6796" width="13.7109375" style="5" customWidth="1"/>
    <col min="6797" max="6797" width="13.140625" style="5" customWidth="1"/>
    <col min="6798" max="6801" width="13" style="5" customWidth="1"/>
    <col min="6802" max="6808" width="11.7109375" style="5" customWidth="1"/>
    <col min="6809" max="6809" width="10.85546875" style="5" customWidth="1"/>
    <col min="6810" max="6810" width="11.7109375" style="5" customWidth="1"/>
    <col min="6811" max="6813" width="22.7109375" style="5" customWidth="1"/>
    <col min="6814" max="6816" width="20.7109375" style="5" customWidth="1"/>
    <col min="6817" max="7004" width="8.85546875" style="5"/>
    <col min="7005" max="7005" width="6.140625" style="5" customWidth="1"/>
    <col min="7006" max="7006" width="20.28515625" style="5" customWidth="1"/>
    <col min="7007" max="7007" width="12.42578125" style="5" customWidth="1"/>
    <col min="7008" max="7008" width="13" style="5" customWidth="1"/>
    <col min="7009" max="7009" width="12.5703125" style="5" customWidth="1"/>
    <col min="7010" max="7023" width="11.7109375" style="5" customWidth="1"/>
    <col min="7024" max="7024" width="12.28515625" style="5" customWidth="1"/>
    <col min="7025" max="7025" width="11.7109375" style="5" customWidth="1"/>
    <col min="7026" max="7026" width="12.85546875" style="5" customWidth="1"/>
    <col min="7027" max="7027" width="11.7109375" style="5" customWidth="1"/>
    <col min="7028" max="7028" width="12.7109375" style="5" customWidth="1"/>
    <col min="7029" max="7029" width="11.7109375" style="5" customWidth="1"/>
    <col min="7030" max="7030" width="13" style="5" customWidth="1"/>
    <col min="7031" max="7042" width="11.7109375" style="5" customWidth="1"/>
    <col min="7043" max="7043" width="12.5703125" style="5" customWidth="1"/>
    <col min="7044" max="7044" width="11.7109375" style="5" customWidth="1"/>
    <col min="7045" max="7045" width="13" style="5" customWidth="1"/>
    <col min="7046" max="7051" width="11.7109375" style="5" customWidth="1"/>
    <col min="7052" max="7052" width="13.7109375" style="5" customWidth="1"/>
    <col min="7053" max="7053" width="13.140625" style="5" customWidth="1"/>
    <col min="7054" max="7057" width="13" style="5" customWidth="1"/>
    <col min="7058" max="7064" width="11.7109375" style="5" customWidth="1"/>
    <col min="7065" max="7065" width="10.85546875" style="5" customWidth="1"/>
    <col min="7066" max="7066" width="11.7109375" style="5" customWidth="1"/>
    <col min="7067" max="7069" width="22.7109375" style="5" customWidth="1"/>
    <col min="7070" max="7072" width="20.7109375" style="5" customWidth="1"/>
    <col min="7073" max="7260" width="8.85546875" style="5"/>
    <col min="7261" max="7261" width="6.140625" style="5" customWidth="1"/>
    <col min="7262" max="7262" width="20.28515625" style="5" customWidth="1"/>
    <col min="7263" max="7263" width="12.42578125" style="5" customWidth="1"/>
    <col min="7264" max="7264" width="13" style="5" customWidth="1"/>
    <col min="7265" max="7265" width="12.5703125" style="5" customWidth="1"/>
    <col min="7266" max="7279" width="11.7109375" style="5" customWidth="1"/>
    <col min="7280" max="7280" width="12.28515625" style="5" customWidth="1"/>
    <col min="7281" max="7281" width="11.7109375" style="5" customWidth="1"/>
    <col min="7282" max="7282" width="12.85546875" style="5" customWidth="1"/>
    <col min="7283" max="7283" width="11.7109375" style="5" customWidth="1"/>
    <col min="7284" max="7284" width="12.7109375" style="5" customWidth="1"/>
    <col min="7285" max="7285" width="11.7109375" style="5" customWidth="1"/>
    <col min="7286" max="7286" width="13" style="5" customWidth="1"/>
    <col min="7287" max="7298" width="11.7109375" style="5" customWidth="1"/>
    <col min="7299" max="7299" width="12.5703125" style="5" customWidth="1"/>
    <col min="7300" max="7300" width="11.7109375" style="5" customWidth="1"/>
    <col min="7301" max="7301" width="13" style="5" customWidth="1"/>
    <col min="7302" max="7307" width="11.7109375" style="5" customWidth="1"/>
    <col min="7308" max="7308" width="13.7109375" style="5" customWidth="1"/>
    <col min="7309" max="7309" width="13.140625" style="5" customWidth="1"/>
    <col min="7310" max="7313" width="13" style="5" customWidth="1"/>
    <col min="7314" max="7320" width="11.7109375" style="5" customWidth="1"/>
    <col min="7321" max="7321" width="10.85546875" style="5" customWidth="1"/>
    <col min="7322" max="7322" width="11.7109375" style="5" customWidth="1"/>
    <col min="7323" max="7325" width="22.7109375" style="5" customWidth="1"/>
    <col min="7326" max="7328" width="20.7109375" style="5" customWidth="1"/>
    <col min="7329" max="7516" width="8.85546875" style="5"/>
    <col min="7517" max="7517" width="6.140625" style="5" customWidth="1"/>
    <col min="7518" max="7518" width="20.28515625" style="5" customWidth="1"/>
    <col min="7519" max="7519" width="12.42578125" style="5" customWidth="1"/>
    <col min="7520" max="7520" width="13" style="5" customWidth="1"/>
    <col min="7521" max="7521" width="12.5703125" style="5" customWidth="1"/>
    <col min="7522" max="7535" width="11.7109375" style="5" customWidth="1"/>
    <col min="7536" max="7536" width="12.28515625" style="5" customWidth="1"/>
    <col min="7537" max="7537" width="11.7109375" style="5" customWidth="1"/>
    <col min="7538" max="7538" width="12.85546875" style="5" customWidth="1"/>
    <col min="7539" max="7539" width="11.7109375" style="5" customWidth="1"/>
    <col min="7540" max="7540" width="12.7109375" style="5" customWidth="1"/>
    <col min="7541" max="7541" width="11.7109375" style="5" customWidth="1"/>
    <col min="7542" max="7542" width="13" style="5" customWidth="1"/>
    <col min="7543" max="7554" width="11.7109375" style="5" customWidth="1"/>
    <col min="7555" max="7555" width="12.5703125" style="5" customWidth="1"/>
    <col min="7556" max="7556" width="11.7109375" style="5" customWidth="1"/>
    <col min="7557" max="7557" width="13" style="5" customWidth="1"/>
    <col min="7558" max="7563" width="11.7109375" style="5" customWidth="1"/>
    <col min="7564" max="7564" width="13.7109375" style="5" customWidth="1"/>
    <col min="7565" max="7565" width="13.140625" style="5" customWidth="1"/>
    <col min="7566" max="7569" width="13" style="5" customWidth="1"/>
    <col min="7570" max="7576" width="11.7109375" style="5" customWidth="1"/>
    <col min="7577" max="7577" width="10.85546875" style="5" customWidth="1"/>
    <col min="7578" max="7578" width="11.7109375" style="5" customWidth="1"/>
    <col min="7579" max="7581" width="22.7109375" style="5" customWidth="1"/>
    <col min="7582" max="7584" width="20.7109375" style="5" customWidth="1"/>
    <col min="7585" max="7772" width="8.85546875" style="5"/>
    <col min="7773" max="7773" width="6.140625" style="5" customWidth="1"/>
    <col min="7774" max="7774" width="20.28515625" style="5" customWidth="1"/>
    <col min="7775" max="7775" width="12.42578125" style="5" customWidth="1"/>
    <col min="7776" max="7776" width="13" style="5" customWidth="1"/>
    <col min="7777" max="7777" width="12.5703125" style="5" customWidth="1"/>
    <col min="7778" max="7791" width="11.7109375" style="5" customWidth="1"/>
    <col min="7792" max="7792" width="12.28515625" style="5" customWidth="1"/>
    <col min="7793" max="7793" width="11.7109375" style="5" customWidth="1"/>
    <col min="7794" max="7794" width="12.85546875" style="5" customWidth="1"/>
    <col min="7795" max="7795" width="11.7109375" style="5" customWidth="1"/>
    <col min="7796" max="7796" width="12.7109375" style="5" customWidth="1"/>
    <col min="7797" max="7797" width="11.7109375" style="5" customWidth="1"/>
    <col min="7798" max="7798" width="13" style="5" customWidth="1"/>
    <col min="7799" max="7810" width="11.7109375" style="5" customWidth="1"/>
    <col min="7811" max="7811" width="12.5703125" style="5" customWidth="1"/>
    <col min="7812" max="7812" width="11.7109375" style="5" customWidth="1"/>
    <col min="7813" max="7813" width="13" style="5" customWidth="1"/>
    <col min="7814" max="7819" width="11.7109375" style="5" customWidth="1"/>
    <col min="7820" max="7820" width="13.7109375" style="5" customWidth="1"/>
    <col min="7821" max="7821" width="13.140625" style="5" customWidth="1"/>
    <col min="7822" max="7825" width="13" style="5" customWidth="1"/>
    <col min="7826" max="7832" width="11.7109375" style="5" customWidth="1"/>
    <col min="7833" max="7833" width="10.85546875" style="5" customWidth="1"/>
    <col min="7834" max="7834" width="11.7109375" style="5" customWidth="1"/>
    <col min="7835" max="7837" width="22.7109375" style="5" customWidth="1"/>
    <col min="7838" max="7840" width="20.7109375" style="5" customWidth="1"/>
    <col min="7841" max="8028" width="8.85546875" style="5"/>
    <col min="8029" max="8029" width="6.140625" style="5" customWidth="1"/>
    <col min="8030" max="8030" width="20.28515625" style="5" customWidth="1"/>
    <col min="8031" max="8031" width="12.42578125" style="5" customWidth="1"/>
    <col min="8032" max="8032" width="13" style="5" customWidth="1"/>
    <col min="8033" max="8033" width="12.5703125" style="5" customWidth="1"/>
    <col min="8034" max="8047" width="11.7109375" style="5" customWidth="1"/>
    <col min="8048" max="8048" width="12.28515625" style="5" customWidth="1"/>
    <col min="8049" max="8049" width="11.7109375" style="5" customWidth="1"/>
    <col min="8050" max="8050" width="12.85546875" style="5" customWidth="1"/>
    <col min="8051" max="8051" width="11.7109375" style="5" customWidth="1"/>
    <col min="8052" max="8052" width="12.7109375" style="5" customWidth="1"/>
    <col min="8053" max="8053" width="11.7109375" style="5" customWidth="1"/>
    <col min="8054" max="8054" width="13" style="5" customWidth="1"/>
    <col min="8055" max="8066" width="11.7109375" style="5" customWidth="1"/>
    <col min="8067" max="8067" width="12.5703125" style="5" customWidth="1"/>
    <col min="8068" max="8068" width="11.7109375" style="5" customWidth="1"/>
    <col min="8069" max="8069" width="13" style="5" customWidth="1"/>
    <col min="8070" max="8075" width="11.7109375" style="5" customWidth="1"/>
    <col min="8076" max="8076" width="13.7109375" style="5" customWidth="1"/>
    <col min="8077" max="8077" width="13.140625" style="5" customWidth="1"/>
    <col min="8078" max="8081" width="13" style="5" customWidth="1"/>
    <col min="8082" max="8088" width="11.7109375" style="5" customWidth="1"/>
    <col min="8089" max="8089" width="10.85546875" style="5" customWidth="1"/>
    <col min="8090" max="8090" width="11.7109375" style="5" customWidth="1"/>
    <col min="8091" max="8093" width="22.7109375" style="5" customWidth="1"/>
    <col min="8094" max="8096" width="20.7109375" style="5" customWidth="1"/>
    <col min="8097" max="8284" width="8.85546875" style="5"/>
    <col min="8285" max="8285" width="6.140625" style="5" customWidth="1"/>
    <col min="8286" max="8286" width="20.28515625" style="5" customWidth="1"/>
    <col min="8287" max="8287" width="12.42578125" style="5" customWidth="1"/>
    <col min="8288" max="8288" width="13" style="5" customWidth="1"/>
    <col min="8289" max="8289" width="12.5703125" style="5" customWidth="1"/>
    <col min="8290" max="8303" width="11.7109375" style="5" customWidth="1"/>
    <col min="8304" max="8304" width="12.28515625" style="5" customWidth="1"/>
    <col min="8305" max="8305" width="11.7109375" style="5" customWidth="1"/>
    <col min="8306" max="8306" width="12.85546875" style="5" customWidth="1"/>
    <col min="8307" max="8307" width="11.7109375" style="5" customWidth="1"/>
    <col min="8308" max="8308" width="12.7109375" style="5" customWidth="1"/>
    <col min="8309" max="8309" width="11.7109375" style="5" customWidth="1"/>
    <col min="8310" max="8310" width="13" style="5" customWidth="1"/>
    <col min="8311" max="8322" width="11.7109375" style="5" customWidth="1"/>
    <col min="8323" max="8323" width="12.5703125" style="5" customWidth="1"/>
    <col min="8324" max="8324" width="11.7109375" style="5" customWidth="1"/>
    <col min="8325" max="8325" width="13" style="5" customWidth="1"/>
    <col min="8326" max="8331" width="11.7109375" style="5" customWidth="1"/>
    <col min="8332" max="8332" width="13.7109375" style="5" customWidth="1"/>
    <col min="8333" max="8333" width="13.140625" style="5" customWidth="1"/>
    <col min="8334" max="8337" width="13" style="5" customWidth="1"/>
    <col min="8338" max="8344" width="11.7109375" style="5" customWidth="1"/>
    <col min="8345" max="8345" width="10.85546875" style="5" customWidth="1"/>
    <col min="8346" max="8346" width="11.7109375" style="5" customWidth="1"/>
    <col min="8347" max="8349" width="22.7109375" style="5" customWidth="1"/>
    <col min="8350" max="8352" width="20.7109375" style="5" customWidth="1"/>
    <col min="8353" max="8540" width="8.85546875" style="5"/>
    <col min="8541" max="8541" width="6.140625" style="5" customWidth="1"/>
    <col min="8542" max="8542" width="20.28515625" style="5" customWidth="1"/>
    <col min="8543" max="8543" width="12.42578125" style="5" customWidth="1"/>
    <col min="8544" max="8544" width="13" style="5" customWidth="1"/>
    <col min="8545" max="8545" width="12.5703125" style="5" customWidth="1"/>
    <col min="8546" max="8559" width="11.7109375" style="5" customWidth="1"/>
    <col min="8560" max="8560" width="12.28515625" style="5" customWidth="1"/>
    <col min="8561" max="8561" width="11.7109375" style="5" customWidth="1"/>
    <col min="8562" max="8562" width="12.85546875" style="5" customWidth="1"/>
    <col min="8563" max="8563" width="11.7109375" style="5" customWidth="1"/>
    <col min="8564" max="8564" width="12.7109375" style="5" customWidth="1"/>
    <col min="8565" max="8565" width="11.7109375" style="5" customWidth="1"/>
    <col min="8566" max="8566" width="13" style="5" customWidth="1"/>
    <col min="8567" max="8578" width="11.7109375" style="5" customWidth="1"/>
    <col min="8579" max="8579" width="12.5703125" style="5" customWidth="1"/>
    <col min="8580" max="8580" width="11.7109375" style="5" customWidth="1"/>
    <col min="8581" max="8581" width="13" style="5" customWidth="1"/>
    <col min="8582" max="8587" width="11.7109375" style="5" customWidth="1"/>
    <col min="8588" max="8588" width="13.7109375" style="5" customWidth="1"/>
    <col min="8589" max="8589" width="13.140625" style="5" customWidth="1"/>
    <col min="8590" max="8593" width="13" style="5" customWidth="1"/>
    <col min="8594" max="8600" width="11.7109375" style="5" customWidth="1"/>
    <col min="8601" max="8601" width="10.85546875" style="5" customWidth="1"/>
    <col min="8602" max="8602" width="11.7109375" style="5" customWidth="1"/>
    <col min="8603" max="8605" width="22.7109375" style="5" customWidth="1"/>
    <col min="8606" max="8608" width="20.7109375" style="5" customWidth="1"/>
    <col min="8609" max="8796" width="8.85546875" style="5"/>
    <col min="8797" max="8797" width="6.140625" style="5" customWidth="1"/>
    <col min="8798" max="8798" width="20.28515625" style="5" customWidth="1"/>
    <col min="8799" max="8799" width="12.42578125" style="5" customWidth="1"/>
    <col min="8800" max="8800" width="13" style="5" customWidth="1"/>
    <col min="8801" max="8801" width="12.5703125" style="5" customWidth="1"/>
    <col min="8802" max="8815" width="11.7109375" style="5" customWidth="1"/>
    <col min="8816" max="8816" width="12.28515625" style="5" customWidth="1"/>
    <col min="8817" max="8817" width="11.7109375" style="5" customWidth="1"/>
    <col min="8818" max="8818" width="12.85546875" style="5" customWidth="1"/>
    <col min="8819" max="8819" width="11.7109375" style="5" customWidth="1"/>
    <col min="8820" max="8820" width="12.7109375" style="5" customWidth="1"/>
    <col min="8821" max="8821" width="11.7109375" style="5" customWidth="1"/>
    <col min="8822" max="8822" width="13" style="5" customWidth="1"/>
    <col min="8823" max="8834" width="11.7109375" style="5" customWidth="1"/>
    <col min="8835" max="8835" width="12.5703125" style="5" customWidth="1"/>
    <col min="8836" max="8836" width="11.7109375" style="5" customWidth="1"/>
    <col min="8837" max="8837" width="13" style="5" customWidth="1"/>
    <col min="8838" max="8843" width="11.7109375" style="5" customWidth="1"/>
    <col min="8844" max="8844" width="13.7109375" style="5" customWidth="1"/>
    <col min="8845" max="8845" width="13.140625" style="5" customWidth="1"/>
    <col min="8846" max="8849" width="13" style="5" customWidth="1"/>
    <col min="8850" max="8856" width="11.7109375" style="5" customWidth="1"/>
    <col min="8857" max="8857" width="10.85546875" style="5" customWidth="1"/>
    <col min="8858" max="8858" width="11.7109375" style="5" customWidth="1"/>
    <col min="8859" max="8861" width="22.7109375" style="5" customWidth="1"/>
    <col min="8862" max="8864" width="20.7109375" style="5" customWidth="1"/>
    <col min="8865" max="9052" width="8.85546875" style="5"/>
    <col min="9053" max="9053" width="6.140625" style="5" customWidth="1"/>
    <col min="9054" max="9054" width="20.28515625" style="5" customWidth="1"/>
    <col min="9055" max="9055" width="12.42578125" style="5" customWidth="1"/>
    <col min="9056" max="9056" width="13" style="5" customWidth="1"/>
    <col min="9057" max="9057" width="12.5703125" style="5" customWidth="1"/>
    <col min="9058" max="9071" width="11.7109375" style="5" customWidth="1"/>
    <col min="9072" max="9072" width="12.28515625" style="5" customWidth="1"/>
    <col min="9073" max="9073" width="11.7109375" style="5" customWidth="1"/>
    <col min="9074" max="9074" width="12.85546875" style="5" customWidth="1"/>
    <col min="9075" max="9075" width="11.7109375" style="5" customWidth="1"/>
    <col min="9076" max="9076" width="12.7109375" style="5" customWidth="1"/>
    <col min="9077" max="9077" width="11.7109375" style="5" customWidth="1"/>
    <col min="9078" max="9078" width="13" style="5" customWidth="1"/>
    <col min="9079" max="9090" width="11.7109375" style="5" customWidth="1"/>
    <col min="9091" max="9091" width="12.5703125" style="5" customWidth="1"/>
    <col min="9092" max="9092" width="11.7109375" style="5" customWidth="1"/>
    <col min="9093" max="9093" width="13" style="5" customWidth="1"/>
    <col min="9094" max="9099" width="11.7109375" style="5" customWidth="1"/>
    <col min="9100" max="9100" width="13.7109375" style="5" customWidth="1"/>
    <col min="9101" max="9101" width="13.140625" style="5" customWidth="1"/>
    <col min="9102" max="9105" width="13" style="5" customWidth="1"/>
    <col min="9106" max="9112" width="11.7109375" style="5" customWidth="1"/>
    <col min="9113" max="9113" width="10.85546875" style="5" customWidth="1"/>
    <col min="9114" max="9114" width="11.7109375" style="5" customWidth="1"/>
    <col min="9115" max="9117" width="22.7109375" style="5" customWidth="1"/>
    <col min="9118" max="9120" width="20.7109375" style="5" customWidth="1"/>
    <col min="9121" max="9308" width="8.85546875" style="5"/>
    <col min="9309" max="9309" width="6.140625" style="5" customWidth="1"/>
    <col min="9310" max="9310" width="20.28515625" style="5" customWidth="1"/>
    <col min="9311" max="9311" width="12.42578125" style="5" customWidth="1"/>
    <col min="9312" max="9312" width="13" style="5" customWidth="1"/>
    <col min="9313" max="9313" width="12.5703125" style="5" customWidth="1"/>
    <col min="9314" max="9327" width="11.7109375" style="5" customWidth="1"/>
    <col min="9328" max="9328" width="12.28515625" style="5" customWidth="1"/>
    <col min="9329" max="9329" width="11.7109375" style="5" customWidth="1"/>
    <col min="9330" max="9330" width="12.85546875" style="5" customWidth="1"/>
    <col min="9331" max="9331" width="11.7109375" style="5" customWidth="1"/>
    <col min="9332" max="9332" width="12.7109375" style="5" customWidth="1"/>
    <col min="9333" max="9333" width="11.7109375" style="5" customWidth="1"/>
    <col min="9334" max="9334" width="13" style="5" customWidth="1"/>
    <col min="9335" max="9346" width="11.7109375" style="5" customWidth="1"/>
    <col min="9347" max="9347" width="12.5703125" style="5" customWidth="1"/>
    <col min="9348" max="9348" width="11.7109375" style="5" customWidth="1"/>
    <col min="9349" max="9349" width="13" style="5" customWidth="1"/>
    <col min="9350" max="9355" width="11.7109375" style="5" customWidth="1"/>
    <col min="9356" max="9356" width="13.7109375" style="5" customWidth="1"/>
    <col min="9357" max="9357" width="13.140625" style="5" customWidth="1"/>
    <col min="9358" max="9361" width="13" style="5" customWidth="1"/>
    <col min="9362" max="9368" width="11.7109375" style="5" customWidth="1"/>
    <col min="9369" max="9369" width="10.85546875" style="5" customWidth="1"/>
    <col min="9370" max="9370" width="11.7109375" style="5" customWidth="1"/>
    <col min="9371" max="9373" width="22.7109375" style="5" customWidth="1"/>
    <col min="9374" max="9376" width="20.7109375" style="5" customWidth="1"/>
    <col min="9377" max="9564" width="8.85546875" style="5"/>
    <col min="9565" max="9565" width="6.140625" style="5" customWidth="1"/>
    <col min="9566" max="9566" width="20.28515625" style="5" customWidth="1"/>
    <col min="9567" max="9567" width="12.42578125" style="5" customWidth="1"/>
    <col min="9568" max="9568" width="13" style="5" customWidth="1"/>
    <col min="9569" max="9569" width="12.5703125" style="5" customWidth="1"/>
    <col min="9570" max="9583" width="11.7109375" style="5" customWidth="1"/>
    <col min="9584" max="9584" width="12.28515625" style="5" customWidth="1"/>
    <col min="9585" max="9585" width="11.7109375" style="5" customWidth="1"/>
    <col min="9586" max="9586" width="12.85546875" style="5" customWidth="1"/>
    <col min="9587" max="9587" width="11.7109375" style="5" customWidth="1"/>
    <col min="9588" max="9588" width="12.7109375" style="5" customWidth="1"/>
    <col min="9589" max="9589" width="11.7109375" style="5" customWidth="1"/>
    <col min="9590" max="9590" width="13" style="5" customWidth="1"/>
    <col min="9591" max="9602" width="11.7109375" style="5" customWidth="1"/>
    <col min="9603" max="9603" width="12.5703125" style="5" customWidth="1"/>
    <col min="9604" max="9604" width="11.7109375" style="5" customWidth="1"/>
    <col min="9605" max="9605" width="13" style="5" customWidth="1"/>
    <col min="9606" max="9611" width="11.7109375" style="5" customWidth="1"/>
    <col min="9612" max="9612" width="13.7109375" style="5" customWidth="1"/>
    <col min="9613" max="9613" width="13.140625" style="5" customWidth="1"/>
    <col min="9614" max="9617" width="13" style="5" customWidth="1"/>
    <col min="9618" max="9624" width="11.7109375" style="5" customWidth="1"/>
    <col min="9625" max="9625" width="10.85546875" style="5" customWidth="1"/>
    <col min="9626" max="9626" width="11.7109375" style="5" customWidth="1"/>
    <col min="9627" max="9629" width="22.7109375" style="5" customWidth="1"/>
    <col min="9630" max="9632" width="20.7109375" style="5" customWidth="1"/>
    <col min="9633" max="9820" width="8.85546875" style="5"/>
    <col min="9821" max="9821" width="6.140625" style="5" customWidth="1"/>
    <col min="9822" max="9822" width="20.28515625" style="5" customWidth="1"/>
    <col min="9823" max="9823" width="12.42578125" style="5" customWidth="1"/>
    <col min="9824" max="9824" width="13" style="5" customWidth="1"/>
    <col min="9825" max="9825" width="12.5703125" style="5" customWidth="1"/>
    <col min="9826" max="9839" width="11.7109375" style="5" customWidth="1"/>
    <col min="9840" max="9840" width="12.28515625" style="5" customWidth="1"/>
    <col min="9841" max="9841" width="11.7109375" style="5" customWidth="1"/>
    <col min="9842" max="9842" width="12.85546875" style="5" customWidth="1"/>
    <col min="9843" max="9843" width="11.7109375" style="5" customWidth="1"/>
    <col min="9844" max="9844" width="12.7109375" style="5" customWidth="1"/>
    <col min="9845" max="9845" width="11.7109375" style="5" customWidth="1"/>
    <col min="9846" max="9846" width="13" style="5" customWidth="1"/>
    <col min="9847" max="9858" width="11.7109375" style="5" customWidth="1"/>
    <col min="9859" max="9859" width="12.5703125" style="5" customWidth="1"/>
    <col min="9860" max="9860" width="11.7109375" style="5" customWidth="1"/>
    <col min="9861" max="9861" width="13" style="5" customWidth="1"/>
    <col min="9862" max="9867" width="11.7109375" style="5" customWidth="1"/>
    <col min="9868" max="9868" width="13.7109375" style="5" customWidth="1"/>
    <col min="9869" max="9869" width="13.140625" style="5" customWidth="1"/>
    <col min="9870" max="9873" width="13" style="5" customWidth="1"/>
    <col min="9874" max="9880" width="11.7109375" style="5" customWidth="1"/>
    <col min="9881" max="9881" width="10.85546875" style="5" customWidth="1"/>
    <col min="9882" max="9882" width="11.7109375" style="5" customWidth="1"/>
    <col min="9883" max="9885" width="22.7109375" style="5" customWidth="1"/>
    <col min="9886" max="9888" width="20.7109375" style="5" customWidth="1"/>
    <col min="9889" max="10076" width="8.85546875" style="5"/>
    <col min="10077" max="10077" width="6.140625" style="5" customWidth="1"/>
    <col min="10078" max="10078" width="20.28515625" style="5" customWidth="1"/>
    <col min="10079" max="10079" width="12.42578125" style="5" customWidth="1"/>
    <col min="10080" max="10080" width="13" style="5" customWidth="1"/>
    <col min="10081" max="10081" width="12.5703125" style="5" customWidth="1"/>
    <col min="10082" max="10095" width="11.7109375" style="5" customWidth="1"/>
    <col min="10096" max="10096" width="12.28515625" style="5" customWidth="1"/>
    <col min="10097" max="10097" width="11.7109375" style="5" customWidth="1"/>
    <col min="10098" max="10098" width="12.85546875" style="5" customWidth="1"/>
    <col min="10099" max="10099" width="11.7109375" style="5" customWidth="1"/>
    <col min="10100" max="10100" width="12.7109375" style="5" customWidth="1"/>
    <col min="10101" max="10101" width="11.7109375" style="5" customWidth="1"/>
    <col min="10102" max="10102" width="13" style="5" customWidth="1"/>
    <col min="10103" max="10114" width="11.7109375" style="5" customWidth="1"/>
    <col min="10115" max="10115" width="12.5703125" style="5" customWidth="1"/>
    <col min="10116" max="10116" width="11.7109375" style="5" customWidth="1"/>
    <col min="10117" max="10117" width="13" style="5" customWidth="1"/>
    <col min="10118" max="10123" width="11.7109375" style="5" customWidth="1"/>
    <col min="10124" max="10124" width="13.7109375" style="5" customWidth="1"/>
    <col min="10125" max="10125" width="13.140625" style="5" customWidth="1"/>
    <col min="10126" max="10129" width="13" style="5" customWidth="1"/>
    <col min="10130" max="10136" width="11.7109375" style="5" customWidth="1"/>
    <col min="10137" max="10137" width="10.85546875" style="5" customWidth="1"/>
    <col min="10138" max="10138" width="11.7109375" style="5" customWidth="1"/>
    <col min="10139" max="10141" width="22.7109375" style="5" customWidth="1"/>
    <col min="10142" max="10144" width="20.7109375" style="5" customWidth="1"/>
    <col min="10145" max="10332" width="8.85546875" style="5"/>
    <col min="10333" max="10333" width="6.140625" style="5" customWidth="1"/>
    <col min="10334" max="10334" width="20.28515625" style="5" customWidth="1"/>
    <col min="10335" max="10335" width="12.42578125" style="5" customWidth="1"/>
    <col min="10336" max="10336" width="13" style="5" customWidth="1"/>
    <col min="10337" max="10337" width="12.5703125" style="5" customWidth="1"/>
    <col min="10338" max="10351" width="11.7109375" style="5" customWidth="1"/>
    <col min="10352" max="10352" width="12.28515625" style="5" customWidth="1"/>
    <col min="10353" max="10353" width="11.7109375" style="5" customWidth="1"/>
    <col min="10354" max="10354" width="12.85546875" style="5" customWidth="1"/>
    <col min="10355" max="10355" width="11.7109375" style="5" customWidth="1"/>
    <col min="10356" max="10356" width="12.7109375" style="5" customWidth="1"/>
    <col min="10357" max="10357" width="11.7109375" style="5" customWidth="1"/>
    <col min="10358" max="10358" width="13" style="5" customWidth="1"/>
    <col min="10359" max="10370" width="11.7109375" style="5" customWidth="1"/>
    <col min="10371" max="10371" width="12.5703125" style="5" customWidth="1"/>
    <col min="10372" max="10372" width="11.7109375" style="5" customWidth="1"/>
    <col min="10373" max="10373" width="13" style="5" customWidth="1"/>
    <col min="10374" max="10379" width="11.7109375" style="5" customWidth="1"/>
    <col min="10380" max="10380" width="13.7109375" style="5" customWidth="1"/>
    <col min="10381" max="10381" width="13.140625" style="5" customWidth="1"/>
    <col min="10382" max="10385" width="13" style="5" customWidth="1"/>
    <col min="10386" max="10392" width="11.7109375" style="5" customWidth="1"/>
    <col min="10393" max="10393" width="10.85546875" style="5" customWidth="1"/>
    <col min="10394" max="10394" width="11.7109375" style="5" customWidth="1"/>
    <col min="10395" max="10397" width="22.7109375" style="5" customWidth="1"/>
    <col min="10398" max="10400" width="20.7109375" style="5" customWidth="1"/>
    <col min="10401" max="10588" width="8.85546875" style="5"/>
    <col min="10589" max="10589" width="6.140625" style="5" customWidth="1"/>
    <col min="10590" max="10590" width="20.28515625" style="5" customWidth="1"/>
    <col min="10591" max="10591" width="12.42578125" style="5" customWidth="1"/>
    <col min="10592" max="10592" width="13" style="5" customWidth="1"/>
    <col min="10593" max="10593" width="12.5703125" style="5" customWidth="1"/>
    <col min="10594" max="10607" width="11.7109375" style="5" customWidth="1"/>
    <col min="10608" max="10608" width="12.28515625" style="5" customWidth="1"/>
    <col min="10609" max="10609" width="11.7109375" style="5" customWidth="1"/>
    <col min="10610" max="10610" width="12.85546875" style="5" customWidth="1"/>
    <col min="10611" max="10611" width="11.7109375" style="5" customWidth="1"/>
    <col min="10612" max="10612" width="12.7109375" style="5" customWidth="1"/>
    <col min="10613" max="10613" width="11.7109375" style="5" customWidth="1"/>
    <col min="10614" max="10614" width="13" style="5" customWidth="1"/>
    <col min="10615" max="10626" width="11.7109375" style="5" customWidth="1"/>
    <col min="10627" max="10627" width="12.5703125" style="5" customWidth="1"/>
    <col min="10628" max="10628" width="11.7109375" style="5" customWidth="1"/>
    <col min="10629" max="10629" width="13" style="5" customWidth="1"/>
    <col min="10630" max="10635" width="11.7109375" style="5" customWidth="1"/>
    <col min="10636" max="10636" width="13.7109375" style="5" customWidth="1"/>
    <col min="10637" max="10637" width="13.140625" style="5" customWidth="1"/>
    <col min="10638" max="10641" width="13" style="5" customWidth="1"/>
    <col min="10642" max="10648" width="11.7109375" style="5" customWidth="1"/>
    <col min="10649" max="10649" width="10.85546875" style="5" customWidth="1"/>
    <col min="10650" max="10650" width="11.7109375" style="5" customWidth="1"/>
    <col min="10651" max="10653" width="22.7109375" style="5" customWidth="1"/>
    <col min="10654" max="10656" width="20.7109375" style="5" customWidth="1"/>
    <col min="10657" max="10844" width="8.85546875" style="5"/>
    <col min="10845" max="10845" width="6.140625" style="5" customWidth="1"/>
    <col min="10846" max="10846" width="20.28515625" style="5" customWidth="1"/>
    <col min="10847" max="10847" width="12.42578125" style="5" customWidth="1"/>
    <col min="10848" max="10848" width="13" style="5" customWidth="1"/>
    <col min="10849" max="10849" width="12.5703125" style="5" customWidth="1"/>
    <col min="10850" max="10863" width="11.7109375" style="5" customWidth="1"/>
    <col min="10864" max="10864" width="12.28515625" style="5" customWidth="1"/>
    <col min="10865" max="10865" width="11.7109375" style="5" customWidth="1"/>
    <col min="10866" max="10866" width="12.85546875" style="5" customWidth="1"/>
    <col min="10867" max="10867" width="11.7109375" style="5" customWidth="1"/>
    <col min="10868" max="10868" width="12.7109375" style="5" customWidth="1"/>
    <col min="10869" max="10869" width="11.7109375" style="5" customWidth="1"/>
    <col min="10870" max="10870" width="13" style="5" customWidth="1"/>
    <col min="10871" max="10882" width="11.7109375" style="5" customWidth="1"/>
    <col min="10883" max="10883" width="12.5703125" style="5" customWidth="1"/>
    <col min="10884" max="10884" width="11.7109375" style="5" customWidth="1"/>
    <col min="10885" max="10885" width="13" style="5" customWidth="1"/>
    <col min="10886" max="10891" width="11.7109375" style="5" customWidth="1"/>
    <col min="10892" max="10892" width="13.7109375" style="5" customWidth="1"/>
    <col min="10893" max="10893" width="13.140625" style="5" customWidth="1"/>
    <col min="10894" max="10897" width="13" style="5" customWidth="1"/>
    <col min="10898" max="10904" width="11.7109375" style="5" customWidth="1"/>
    <col min="10905" max="10905" width="10.85546875" style="5" customWidth="1"/>
    <col min="10906" max="10906" width="11.7109375" style="5" customWidth="1"/>
    <col min="10907" max="10909" width="22.7109375" style="5" customWidth="1"/>
    <col min="10910" max="10912" width="20.7109375" style="5" customWidth="1"/>
    <col min="10913" max="11100" width="8.85546875" style="5"/>
    <col min="11101" max="11101" width="6.140625" style="5" customWidth="1"/>
    <col min="11102" max="11102" width="20.28515625" style="5" customWidth="1"/>
    <col min="11103" max="11103" width="12.42578125" style="5" customWidth="1"/>
    <col min="11104" max="11104" width="13" style="5" customWidth="1"/>
    <col min="11105" max="11105" width="12.5703125" style="5" customWidth="1"/>
    <col min="11106" max="11119" width="11.7109375" style="5" customWidth="1"/>
    <col min="11120" max="11120" width="12.28515625" style="5" customWidth="1"/>
    <col min="11121" max="11121" width="11.7109375" style="5" customWidth="1"/>
    <col min="11122" max="11122" width="12.85546875" style="5" customWidth="1"/>
    <col min="11123" max="11123" width="11.7109375" style="5" customWidth="1"/>
    <col min="11124" max="11124" width="12.7109375" style="5" customWidth="1"/>
    <col min="11125" max="11125" width="11.7109375" style="5" customWidth="1"/>
    <col min="11126" max="11126" width="13" style="5" customWidth="1"/>
    <col min="11127" max="11138" width="11.7109375" style="5" customWidth="1"/>
    <col min="11139" max="11139" width="12.5703125" style="5" customWidth="1"/>
    <col min="11140" max="11140" width="11.7109375" style="5" customWidth="1"/>
    <col min="11141" max="11141" width="13" style="5" customWidth="1"/>
    <col min="11142" max="11147" width="11.7109375" style="5" customWidth="1"/>
    <col min="11148" max="11148" width="13.7109375" style="5" customWidth="1"/>
    <col min="11149" max="11149" width="13.140625" style="5" customWidth="1"/>
    <col min="11150" max="11153" width="13" style="5" customWidth="1"/>
    <col min="11154" max="11160" width="11.7109375" style="5" customWidth="1"/>
    <col min="11161" max="11161" width="10.85546875" style="5" customWidth="1"/>
    <col min="11162" max="11162" width="11.7109375" style="5" customWidth="1"/>
    <col min="11163" max="11165" width="22.7109375" style="5" customWidth="1"/>
    <col min="11166" max="11168" width="20.7109375" style="5" customWidth="1"/>
    <col min="11169" max="11356" width="8.85546875" style="5"/>
    <col min="11357" max="11357" width="6.140625" style="5" customWidth="1"/>
    <col min="11358" max="11358" width="20.28515625" style="5" customWidth="1"/>
    <col min="11359" max="11359" width="12.42578125" style="5" customWidth="1"/>
    <col min="11360" max="11360" width="13" style="5" customWidth="1"/>
    <col min="11361" max="11361" width="12.5703125" style="5" customWidth="1"/>
    <col min="11362" max="11375" width="11.7109375" style="5" customWidth="1"/>
    <col min="11376" max="11376" width="12.28515625" style="5" customWidth="1"/>
    <col min="11377" max="11377" width="11.7109375" style="5" customWidth="1"/>
    <col min="11378" max="11378" width="12.85546875" style="5" customWidth="1"/>
    <col min="11379" max="11379" width="11.7109375" style="5" customWidth="1"/>
    <col min="11380" max="11380" width="12.7109375" style="5" customWidth="1"/>
    <col min="11381" max="11381" width="11.7109375" style="5" customWidth="1"/>
    <col min="11382" max="11382" width="13" style="5" customWidth="1"/>
    <col min="11383" max="11394" width="11.7109375" style="5" customWidth="1"/>
    <col min="11395" max="11395" width="12.5703125" style="5" customWidth="1"/>
    <col min="11396" max="11396" width="11.7109375" style="5" customWidth="1"/>
    <col min="11397" max="11397" width="13" style="5" customWidth="1"/>
    <col min="11398" max="11403" width="11.7109375" style="5" customWidth="1"/>
    <col min="11404" max="11404" width="13.7109375" style="5" customWidth="1"/>
    <col min="11405" max="11405" width="13.140625" style="5" customWidth="1"/>
    <col min="11406" max="11409" width="13" style="5" customWidth="1"/>
    <col min="11410" max="11416" width="11.7109375" style="5" customWidth="1"/>
    <col min="11417" max="11417" width="10.85546875" style="5" customWidth="1"/>
    <col min="11418" max="11418" width="11.7109375" style="5" customWidth="1"/>
    <col min="11419" max="11421" width="22.7109375" style="5" customWidth="1"/>
    <col min="11422" max="11424" width="20.7109375" style="5" customWidth="1"/>
    <col min="11425" max="11612" width="8.85546875" style="5"/>
    <col min="11613" max="11613" width="6.140625" style="5" customWidth="1"/>
    <col min="11614" max="11614" width="20.28515625" style="5" customWidth="1"/>
    <col min="11615" max="11615" width="12.42578125" style="5" customWidth="1"/>
    <col min="11616" max="11616" width="13" style="5" customWidth="1"/>
    <col min="11617" max="11617" width="12.5703125" style="5" customWidth="1"/>
    <col min="11618" max="11631" width="11.7109375" style="5" customWidth="1"/>
    <col min="11632" max="11632" width="12.28515625" style="5" customWidth="1"/>
    <col min="11633" max="11633" width="11.7109375" style="5" customWidth="1"/>
    <col min="11634" max="11634" width="12.85546875" style="5" customWidth="1"/>
    <col min="11635" max="11635" width="11.7109375" style="5" customWidth="1"/>
    <col min="11636" max="11636" width="12.7109375" style="5" customWidth="1"/>
    <col min="11637" max="11637" width="11.7109375" style="5" customWidth="1"/>
    <col min="11638" max="11638" width="13" style="5" customWidth="1"/>
    <col min="11639" max="11650" width="11.7109375" style="5" customWidth="1"/>
    <col min="11651" max="11651" width="12.5703125" style="5" customWidth="1"/>
    <col min="11652" max="11652" width="11.7109375" style="5" customWidth="1"/>
    <col min="11653" max="11653" width="13" style="5" customWidth="1"/>
    <col min="11654" max="11659" width="11.7109375" style="5" customWidth="1"/>
    <col min="11660" max="11660" width="13.7109375" style="5" customWidth="1"/>
    <col min="11661" max="11661" width="13.140625" style="5" customWidth="1"/>
    <col min="11662" max="11665" width="13" style="5" customWidth="1"/>
    <col min="11666" max="11672" width="11.7109375" style="5" customWidth="1"/>
    <col min="11673" max="11673" width="10.85546875" style="5" customWidth="1"/>
    <col min="11674" max="11674" width="11.7109375" style="5" customWidth="1"/>
    <col min="11675" max="11677" width="22.7109375" style="5" customWidth="1"/>
    <col min="11678" max="11680" width="20.7109375" style="5" customWidth="1"/>
    <col min="11681" max="11868" width="8.85546875" style="5"/>
    <col min="11869" max="11869" width="6.140625" style="5" customWidth="1"/>
    <col min="11870" max="11870" width="20.28515625" style="5" customWidth="1"/>
    <col min="11871" max="11871" width="12.42578125" style="5" customWidth="1"/>
    <col min="11872" max="11872" width="13" style="5" customWidth="1"/>
    <col min="11873" max="11873" width="12.5703125" style="5" customWidth="1"/>
    <col min="11874" max="11887" width="11.7109375" style="5" customWidth="1"/>
    <col min="11888" max="11888" width="12.28515625" style="5" customWidth="1"/>
    <col min="11889" max="11889" width="11.7109375" style="5" customWidth="1"/>
    <col min="11890" max="11890" width="12.85546875" style="5" customWidth="1"/>
    <col min="11891" max="11891" width="11.7109375" style="5" customWidth="1"/>
    <col min="11892" max="11892" width="12.7109375" style="5" customWidth="1"/>
    <col min="11893" max="11893" width="11.7109375" style="5" customWidth="1"/>
    <col min="11894" max="11894" width="13" style="5" customWidth="1"/>
    <col min="11895" max="11906" width="11.7109375" style="5" customWidth="1"/>
    <col min="11907" max="11907" width="12.5703125" style="5" customWidth="1"/>
    <col min="11908" max="11908" width="11.7109375" style="5" customWidth="1"/>
    <col min="11909" max="11909" width="13" style="5" customWidth="1"/>
    <col min="11910" max="11915" width="11.7109375" style="5" customWidth="1"/>
    <col min="11916" max="11916" width="13.7109375" style="5" customWidth="1"/>
    <col min="11917" max="11917" width="13.140625" style="5" customWidth="1"/>
    <col min="11918" max="11921" width="13" style="5" customWidth="1"/>
    <col min="11922" max="11928" width="11.7109375" style="5" customWidth="1"/>
    <col min="11929" max="11929" width="10.85546875" style="5" customWidth="1"/>
    <col min="11930" max="11930" width="11.7109375" style="5" customWidth="1"/>
    <col min="11931" max="11933" width="22.7109375" style="5" customWidth="1"/>
    <col min="11934" max="11936" width="20.7109375" style="5" customWidth="1"/>
    <col min="11937" max="12124" width="8.85546875" style="5"/>
    <col min="12125" max="12125" width="6.140625" style="5" customWidth="1"/>
    <col min="12126" max="12126" width="20.28515625" style="5" customWidth="1"/>
    <col min="12127" max="12127" width="12.42578125" style="5" customWidth="1"/>
    <col min="12128" max="12128" width="13" style="5" customWidth="1"/>
    <col min="12129" max="12129" width="12.5703125" style="5" customWidth="1"/>
    <col min="12130" max="12143" width="11.7109375" style="5" customWidth="1"/>
    <col min="12144" max="12144" width="12.28515625" style="5" customWidth="1"/>
    <col min="12145" max="12145" width="11.7109375" style="5" customWidth="1"/>
    <col min="12146" max="12146" width="12.85546875" style="5" customWidth="1"/>
    <col min="12147" max="12147" width="11.7109375" style="5" customWidth="1"/>
    <col min="12148" max="12148" width="12.7109375" style="5" customWidth="1"/>
    <col min="12149" max="12149" width="11.7109375" style="5" customWidth="1"/>
    <col min="12150" max="12150" width="13" style="5" customWidth="1"/>
    <col min="12151" max="12162" width="11.7109375" style="5" customWidth="1"/>
    <col min="12163" max="12163" width="12.5703125" style="5" customWidth="1"/>
    <col min="12164" max="12164" width="11.7109375" style="5" customWidth="1"/>
    <col min="12165" max="12165" width="13" style="5" customWidth="1"/>
    <col min="12166" max="12171" width="11.7109375" style="5" customWidth="1"/>
    <col min="12172" max="12172" width="13.7109375" style="5" customWidth="1"/>
    <col min="12173" max="12173" width="13.140625" style="5" customWidth="1"/>
    <col min="12174" max="12177" width="13" style="5" customWidth="1"/>
    <col min="12178" max="12184" width="11.7109375" style="5" customWidth="1"/>
    <col min="12185" max="12185" width="10.85546875" style="5" customWidth="1"/>
    <col min="12186" max="12186" width="11.7109375" style="5" customWidth="1"/>
    <col min="12187" max="12189" width="22.7109375" style="5" customWidth="1"/>
    <col min="12190" max="12192" width="20.7109375" style="5" customWidth="1"/>
    <col min="12193" max="12380" width="8.85546875" style="5"/>
    <col min="12381" max="12381" width="6.140625" style="5" customWidth="1"/>
    <col min="12382" max="12382" width="20.28515625" style="5" customWidth="1"/>
    <col min="12383" max="12383" width="12.42578125" style="5" customWidth="1"/>
    <col min="12384" max="12384" width="13" style="5" customWidth="1"/>
    <col min="12385" max="12385" width="12.5703125" style="5" customWidth="1"/>
    <col min="12386" max="12399" width="11.7109375" style="5" customWidth="1"/>
    <col min="12400" max="12400" width="12.28515625" style="5" customWidth="1"/>
    <col min="12401" max="12401" width="11.7109375" style="5" customWidth="1"/>
    <col min="12402" max="12402" width="12.85546875" style="5" customWidth="1"/>
    <col min="12403" max="12403" width="11.7109375" style="5" customWidth="1"/>
    <col min="12404" max="12404" width="12.7109375" style="5" customWidth="1"/>
    <col min="12405" max="12405" width="11.7109375" style="5" customWidth="1"/>
    <col min="12406" max="12406" width="13" style="5" customWidth="1"/>
    <col min="12407" max="12418" width="11.7109375" style="5" customWidth="1"/>
    <col min="12419" max="12419" width="12.5703125" style="5" customWidth="1"/>
    <col min="12420" max="12420" width="11.7109375" style="5" customWidth="1"/>
    <col min="12421" max="12421" width="13" style="5" customWidth="1"/>
    <col min="12422" max="12427" width="11.7109375" style="5" customWidth="1"/>
    <col min="12428" max="12428" width="13.7109375" style="5" customWidth="1"/>
    <col min="12429" max="12429" width="13.140625" style="5" customWidth="1"/>
    <col min="12430" max="12433" width="13" style="5" customWidth="1"/>
    <col min="12434" max="12440" width="11.7109375" style="5" customWidth="1"/>
    <col min="12441" max="12441" width="10.85546875" style="5" customWidth="1"/>
    <col min="12442" max="12442" width="11.7109375" style="5" customWidth="1"/>
    <col min="12443" max="12445" width="22.7109375" style="5" customWidth="1"/>
    <col min="12446" max="12448" width="20.7109375" style="5" customWidth="1"/>
    <col min="12449" max="12636" width="8.85546875" style="5"/>
    <col min="12637" max="12637" width="6.140625" style="5" customWidth="1"/>
    <col min="12638" max="12638" width="20.28515625" style="5" customWidth="1"/>
    <col min="12639" max="12639" width="12.42578125" style="5" customWidth="1"/>
    <col min="12640" max="12640" width="13" style="5" customWidth="1"/>
    <col min="12641" max="12641" width="12.5703125" style="5" customWidth="1"/>
    <col min="12642" max="12655" width="11.7109375" style="5" customWidth="1"/>
    <col min="12656" max="12656" width="12.28515625" style="5" customWidth="1"/>
    <col min="12657" max="12657" width="11.7109375" style="5" customWidth="1"/>
    <col min="12658" max="12658" width="12.85546875" style="5" customWidth="1"/>
    <col min="12659" max="12659" width="11.7109375" style="5" customWidth="1"/>
    <col min="12660" max="12660" width="12.7109375" style="5" customWidth="1"/>
    <col min="12661" max="12661" width="11.7109375" style="5" customWidth="1"/>
    <col min="12662" max="12662" width="13" style="5" customWidth="1"/>
    <col min="12663" max="12674" width="11.7109375" style="5" customWidth="1"/>
    <col min="12675" max="12675" width="12.5703125" style="5" customWidth="1"/>
    <col min="12676" max="12676" width="11.7109375" style="5" customWidth="1"/>
    <col min="12677" max="12677" width="13" style="5" customWidth="1"/>
    <col min="12678" max="12683" width="11.7109375" style="5" customWidth="1"/>
    <col min="12684" max="12684" width="13.7109375" style="5" customWidth="1"/>
    <col min="12685" max="12685" width="13.140625" style="5" customWidth="1"/>
    <col min="12686" max="12689" width="13" style="5" customWidth="1"/>
    <col min="12690" max="12696" width="11.7109375" style="5" customWidth="1"/>
    <col min="12697" max="12697" width="10.85546875" style="5" customWidth="1"/>
    <col min="12698" max="12698" width="11.7109375" style="5" customWidth="1"/>
    <col min="12699" max="12701" width="22.7109375" style="5" customWidth="1"/>
    <col min="12702" max="12704" width="20.7109375" style="5" customWidth="1"/>
    <col min="12705" max="12892" width="8.85546875" style="5"/>
    <col min="12893" max="12893" width="6.140625" style="5" customWidth="1"/>
    <col min="12894" max="12894" width="20.28515625" style="5" customWidth="1"/>
    <col min="12895" max="12895" width="12.42578125" style="5" customWidth="1"/>
    <col min="12896" max="12896" width="13" style="5" customWidth="1"/>
    <col min="12897" max="12897" width="12.5703125" style="5" customWidth="1"/>
    <col min="12898" max="12911" width="11.7109375" style="5" customWidth="1"/>
    <col min="12912" max="12912" width="12.28515625" style="5" customWidth="1"/>
    <col min="12913" max="12913" width="11.7109375" style="5" customWidth="1"/>
    <col min="12914" max="12914" width="12.85546875" style="5" customWidth="1"/>
    <col min="12915" max="12915" width="11.7109375" style="5" customWidth="1"/>
    <col min="12916" max="12916" width="12.7109375" style="5" customWidth="1"/>
    <col min="12917" max="12917" width="11.7109375" style="5" customWidth="1"/>
    <col min="12918" max="12918" width="13" style="5" customWidth="1"/>
    <col min="12919" max="12930" width="11.7109375" style="5" customWidth="1"/>
    <col min="12931" max="12931" width="12.5703125" style="5" customWidth="1"/>
    <col min="12932" max="12932" width="11.7109375" style="5" customWidth="1"/>
    <col min="12933" max="12933" width="13" style="5" customWidth="1"/>
    <col min="12934" max="12939" width="11.7109375" style="5" customWidth="1"/>
    <col min="12940" max="12940" width="13.7109375" style="5" customWidth="1"/>
    <col min="12941" max="12941" width="13.140625" style="5" customWidth="1"/>
    <col min="12942" max="12945" width="13" style="5" customWidth="1"/>
    <col min="12946" max="12952" width="11.7109375" style="5" customWidth="1"/>
    <col min="12953" max="12953" width="10.85546875" style="5" customWidth="1"/>
    <col min="12954" max="12954" width="11.7109375" style="5" customWidth="1"/>
    <col min="12955" max="12957" width="22.7109375" style="5" customWidth="1"/>
    <col min="12958" max="12960" width="20.7109375" style="5" customWidth="1"/>
    <col min="12961" max="13148" width="8.85546875" style="5"/>
    <col min="13149" max="13149" width="6.140625" style="5" customWidth="1"/>
    <col min="13150" max="13150" width="20.28515625" style="5" customWidth="1"/>
    <col min="13151" max="13151" width="12.42578125" style="5" customWidth="1"/>
    <col min="13152" max="13152" width="13" style="5" customWidth="1"/>
    <col min="13153" max="13153" width="12.5703125" style="5" customWidth="1"/>
    <col min="13154" max="13167" width="11.7109375" style="5" customWidth="1"/>
    <col min="13168" max="13168" width="12.28515625" style="5" customWidth="1"/>
    <col min="13169" max="13169" width="11.7109375" style="5" customWidth="1"/>
    <col min="13170" max="13170" width="12.85546875" style="5" customWidth="1"/>
    <col min="13171" max="13171" width="11.7109375" style="5" customWidth="1"/>
    <col min="13172" max="13172" width="12.7109375" style="5" customWidth="1"/>
    <col min="13173" max="13173" width="11.7109375" style="5" customWidth="1"/>
    <col min="13174" max="13174" width="13" style="5" customWidth="1"/>
    <col min="13175" max="13186" width="11.7109375" style="5" customWidth="1"/>
    <col min="13187" max="13187" width="12.5703125" style="5" customWidth="1"/>
    <col min="13188" max="13188" width="11.7109375" style="5" customWidth="1"/>
    <col min="13189" max="13189" width="13" style="5" customWidth="1"/>
    <col min="13190" max="13195" width="11.7109375" style="5" customWidth="1"/>
    <col min="13196" max="13196" width="13.7109375" style="5" customWidth="1"/>
    <col min="13197" max="13197" width="13.140625" style="5" customWidth="1"/>
    <col min="13198" max="13201" width="13" style="5" customWidth="1"/>
    <col min="13202" max="13208" width="11.7109375" style="5" customWidth="1"/>
    <col min="13209" max="13209" width="10.85546875" style="5" customWidth="1"/>
    <col min="13210" max="13210" width="11.7109375" style="5" customWidth="1"/>
    <col min="13211" max="13213" width="22.7109375" style="5" customWidth="1"/>
    <col min="13214" max="13216" width="20.7109375" style="5" customWidth="1"/>
    <col min="13217" max="13404" width="8.85546875" style="5"/>
    <col min="13405" max="13405" width="6.140625" style="5" customWidth="1"/>
    <col min="13406" max="13406" width="20.28515625" style="5" customWidth="1"/>
    <col min="13407" max="13407" width="12.42578125" style="5" customWidth="1"/>
    <col min="13408" max="13408" width="13" style="5" customWidth="1"/>
    <col min="13409" max="13409" width="12.5703125" style="5" customWidth="1"/>
    <col min="13410" max="13423" width="11.7109375" style="5" customWidth="1"/>
    <col min="13424" max="13424" width="12.28515625" style="5" customWidth="1"/>
    <col min="13425" max="13425" width="11.7109375" style="5" customWidth="1"/>
    <col min="13426" max="13426" width="12.85546875" style="5" customWidth="1"/>
    <col min="13427" max="13427" width="11.7109375" style="5" customWidth="1"/>
    <col min="13428" max="13428" width="12.7109375" style="5" customWidth="1"/>
    <col min="13429" max="13429" width="11.7109375" style="5" customWidth="1"/>
    <col min="13430" max="13430" width="13" style="5" customWidth="1"/>
    <col min="13431" max="13442" width="11.7109375" style="5" customWidth="1"/>
    <col min="13443" max="13443" width="12.5703125" style="5" customWidth="1"/>
    <col min="13444" max="13444" width="11.7109375" style="5" customWidth="1"/>
    <col min="13445" max="13445" width="13" style="5" customWidth="1"/>
    <col min="13446" max="13451" width="11.7109375" style="5" customWidth="1"/>
    <col min="13452" max="13452" width="13.7109375" style="5" customWidth="1"/>
    <col min="13453" max="13453" width="13.140625" style="5" customWidth="1"/>
    <col min="13454" max="13457" width="13" style="5" customWidth="1"/>
    <col min="13458" max="13464" width="11.7109375" style="5" customWidth="1"/>
    <col min="13465" max="13465" width="10.85546875" style="5" customWidth="1"/>
    <col min="13466" max="13466" width="11.7109375" style="5" customWidth="1"/>
    <col min="13467" max="13469" width="22.7109375" style="5" customWidth="1"/>
    <col min="13470" max="13472" width="20.7109375" style="5" customWidth="1"/>
    <col min="13473" max="13660" width="8.85546875" style="5"/>
    <col min="13661" max="13661" width="6.140625" style="5" customWidth="1"/>
    <col min="13662" max="13662" width="20.28515625" style="5" customWidth="1"/>
    <col min="13663" max="13663" width="12.42578125" style="5" customWidth="1"/>
    <col min="13664" max="13664" width="13" style="5" customWidth="1"/>
    <col min="13665" max="13665" width="12.5703125" style="5" customWidth="1"/>
    <col min="13666" max="13679" width="11.7109375" style="5" customWidth="1"/>
    <col min="13680" max="13680" width="12.28515625" style="5" customWidth="1"/>
    <col min="13681" max="13681" width="11.7109375" style="5" customWidth="1"/>
    <col min="13682" max="13682" width="12.85546875" style="5" customWidth="1"/>
    <col min="13683" max="13683" width="11.7109375" style="5" customWidth="1"/>
    <col min="13684" max="13684" width="12.7109375" style="5" customWidth="1"/>
    <col min="13685" max="13685" width="11.7109375" style="5" customWidth="1"/>
    <col min="13686" max="13686" width="13" style="5" customWidth="1"/>
    <col min="13687" max="13698" width="11.7109375" style="5" customWidth="1"/>
    <col min="13699" max="13699" width="12.5703125" style="5" customWidth="1"/>
    <col min="13700" max="13700" width="11.7109375" style="5" customWidth="1"/>
    <col min="13701" max="13701" width="13" style="5" customWidth="1"/>
    <col min="13702" max="13707" width="11.7109375" style="5" customWidth="1"/>
    <col min="13708" max="13708" width="13.7109375" style="5" customWidth="1"/>
    <col min="13709" max="13709" width="13.140625" style="5" customWidth="1"/>
    <col min="13710" max="13713" width="13" style="5" customWidth="1"/>
    <col min="13714" max="13720" width="11.7109375" style="5" customWidth="1"/>
    <col min="13721" max="13721" width="10.85546875" style="5" customWidth="1"/>
    <col min="13722" max="13722" width="11.7109375" style="5" customWidth="1"/>
    <col min="13723" max="13725" width="22.7109375" style="5" customWidth="1"/>
    <col min="13726" max="13728" width="20.7109375" style="5" customWidth="1"/>
    <col min="13729" max="13916" width="8.85546875" style="5"/>
    <col min="13917" max="13917" width="6.140625" style="5" customWidth="1"/>
    <col min="13918" max="13918" width="20.28515625" style="5" customWidth="1"/>
    <col min="13919" max="13919" width="12.42578125" style="5" customWidth="1"/>
    <col min="13920" max="13920" width="13" style="5" customWidth="1"/>
    <col min="13921" max="13921" width="12.5703125" style="5" customWidth="1"/>
    <col min="13922" max="13935" width="11.7109375" style="5" customWidth="1"/>
    <col min="13936" max="13936" width="12.28515625" style="5" customWidth="1"/>
    <col min="13937" max="13937" width="11.7109375" style="5" customWidth="1"/>
    <col min="13938" max="13938" width="12.85546875" style="5" customWidth="1"/>
    <col min="13939" max="13939" width="11.7109375" style="5" customWidth="1"/>
    <col min="13940" max="13940" width="12.7109375" style="5" customWidth="1"/>
    <col min="13941" max="13941" width="11.7109375" style="5" customWidth="1"/>
    <col min="13942" max="13942" width="13" style="5" customWidth="1"/>
    <col min="13943" max="13954" width="11.7109375" style="5" customWidth="1"/>
    <col min="13955" max="13955" width="12.5703125" style="5" customWidth="1"/>
    <col min="13956" max="13956" width="11.7109375" style="5" customWidth="1"/>
    <col min="13957" max="13957" width="13" style="5" customWidth="1"/>
    <col min="13958" max="13963" width="11.7109375" style="5" customWidth="1"/>
    <col min="13964" max="13964" width="13.7109375" style="5" customWidth="1"/>
    <col min="13965" max="13965" width="13.140625" style="5" customWidth="1"/>
    <col min="13966" max="13969" width="13" style="5" customWidth="1"/>
    <col min="13970" max="13976" width="11.7109375" style="5" customWidth="1"/>
    <col min="13977" max="13977" width="10.85546875" style="5" customWidth="1"/>
    <col min="13978" max="13978" width="11.7109375" style="5" customWidth="1"/>
    <col min="13979" max="13981" width="22.7109375" style="5" customWidth="1"/>
    <col min="13982" max="13984" width="20.7109375" style="5" customWidth="1"/>
    <col min="13985" max="14172" width="8.85546875" style="5"/>
    <col min="14173" max="14173" width="6.140625" style="5" customWidth="1"/>
    <col min="14174" max="14174" width="20.28515625" style="5" customWidth="1"/>
    <col min="14175" max="14175" width="12.42578125" style="5" customWidth="1"/>
    <col min="14176" max="14176" width="13" style="5" customWidth="1"/>
    <col min="14177" max="14177" width="12.5703125" style="5" customWidth="1"/>
    <col min="14178" max="14191" width="11.7109375" style="5" customWidth="1"/>
    <col min="14192" max="14192" width="12.28515625" style="5" customWidth="1"/>
    <col min="14193" max="14193" width="11.7109375" style="5" customWidth="1"/>
    <col min="14194" max="14194" width="12.85546875" style="5" customWidth="1"/>
    <col min="14195" max="14195" width="11.7109375" style="5" customWidth="1"/>
    <col min="14196" max="14196" width="12.7109375" style="5" customWidth="1"/>
    <col min="14197" max="14197" width="11.7109375" style="5" customWidth="1"/>
    <col min="14198" max="14198" width="13" style="5" customWidth="1"/>
    <col min="14199" max="14210" width="11.7109375" style="5" customWidth="1"/>
    <col min="14211" max="14211" width="12.5703125" style="5" customWidth="1"/>
    <col min="14212" max="14212" width="11.7109375" style="5" customWidth="1"/>
    <col min="14213" max="14213" width="13" style="5" customWidth="1"/>
    <col min="14214" max="14219" width="11.7109375" style="5" customWidth="1"/>
    <col min="14220" max="14220" width="13.7109375" style="5" customWidth="1"/>
    <col min="14221" max="14221" width="13.140625" style="5" customWidth="1"/>
    <col min="14222" max="14225" width="13" style="5" customWidth="1"/>
    <col min="14226" max="14232" width="11.7109375" style="5" customWidth="1"/>
    <col min="14233" max="14233" width="10.85546875" style="5" customWidth="1"/>
    <col min="14234" max="14234" width="11.7109375" style="5" customWidth="1"/>
    <col min="14235" max="14237" width="22.7109375" style="5" customWidth="1"/>
    <col min="14238" max="14240" width="20.7109375" style="5" customWidth="1"/>
    <col min="14241" max="14428" width="8.85546875" style="5"/>
    <col min="14429" max="14429" width="6.140625" style="5" customWidth="1"/>
    <col min="14430" max="14430" width="20.28515625" style="5" customWidth="1"/>
    <col min="14431" max="14431" width="12.42578125" style="5" customWidth="1"/>
    <col min="14432" max="14432" width="13" style="5" customWidth="1"/>
    <col min="14433" max="14433" width="12.5703125" style="5" customWidth="1"/>
    <col min="14434" max="14447" width="11.7109375" style="5" customWidth="1"/>
    <col min="14448" max="14448" width="12.28515625" style="5" customWidth="1"/>
    <col min="14449" max="14449" width="11.7109375" style="5" customWidth="1"/>
    <col min="14450" max="14450" width="12.85546875" style="5" customWidth="1"/>
    <col min="14451" max="14451" width="11.7109375" style="5" customWidth="1"/>
    <col min="14452" max="14452" width="12.7109375" style="5" customWidth="1"/>
    <col min="14453" max="14453" width="11.7109375" style="5" customWidth="1"/>
    <col min="14454" max="14454" width="13" style="5" customWidth="1"/>
    <col min="14455" max="14466" width="11.7109375" style="5" customWidth="1"/>
    <col min="14467" max="14467" width="12.5703125" style="5" customWidth="1"/>
    <col min="14468" max="14468" width="11.7109375" style="5" customWidth="1"/>
    <col min="14469" max="14469" width="13" style="5" customWidth="1"/>
    <col min="14470" max="14475" width="11.7109375" style="5" customWidth="1"/>
    <col min="14476" max="14476" width="13.7109375" style="5" customWidth="1"/>
    <col min="14477" max="14477" width="13.140625" style="5" customWidth="1"/>
    <col min="14478" max="14481" width="13" style="5" customWidth="1"/>
    <col min="14482" max="14488" width="11.7109375" style="5" customWidth="1"/>
    <col min="14489" max="14489" width="10.85546875" style="5" customWidth="1"/>
    <col min="14490" max="14490" width="11.7109375" style="5" customWidth="1"/>
    <col min="14491" max="14493" width="22.7109375" style="5" customWidth="1"/>
    <col min="14494" max="14496" width="20.7109375" style="5" customWidth="1"/>
    <col min="14497" max="14684" width="8.85546875" style="5"/>
    <col min="14685" max="14685" width="6.140625" style="5" customWidth="1"/>
    <col min="14686" max="14686" width="20.28515625" style="5" customWidth="1"/>
    <col min="14687" max="14687" width="12.42578125" style="5" customWidth="1"/>
    <col min="14688" max="14688" width="13" style="5" customWidth="1"/>
    <col min="14689" max="14689" width="12.5703125" style="5" customWidth="1"/>
    <col min="14690" max="14703" width="11.7109375" style="5" customWidth="1"/>
    <col min="14704" max="14704" width="12.28515625" style="5" customWidth="1"/>
    <col min="14705" max="14705" width="11.7109375" style="5" customWidth="1"/>
    <col min="14706" max="14706" width="12.85546875" style="5" customWidth="1"/>
    <col min="14707" max="14707" width="11.7109375" style="5" customWidth="1"/>
    <col min="14708" max="14708" width="12.7109375" style="5" customWidth="1"/>
    <col min="14709" max="14709" width="11.7109375" style="5" customWidth="1"/>
    <col min="14710" max="14710" width="13" style="5" customWidth="1"/>
    <col min="14711" max="14722" width="11.7109375" style="5" customWidth="1"/>
    <col min="14723" max="14723" width="12.5703125" style="5" customWidth="1"/>
    <col min="14724" max="14724" width="11.7109375" style="5" customWidth="1"/>
    <col min="14725" max="14725" width="13" style="5" customWidth="1"/>
    <col min="14726" max="14731" width="11.7109375" style="5" customWidth="1"/>
    <col min="14732" max="14732" width="13.7109375" style="5" customWidth="1"/>
    <col min="14733" max="14733" width="13.140625" style="5" customWidth="1"/>
    <col min="14734" max="14737" width="13" style="5" customWidth="1"/>
    <col min="14738" max="14744" width="11.7109375" style="5" customWidth="1"/>
    <col min="14745" max="14745" width="10.85546875" style="5" customWidth="1"/>
    <col min="14746" max="14746" width="11.7109375" style="5" customWidth="1"/>
    <col min="14747" max="14749" width="22.7109375" style="5" customWidth="1"/>
    <col min="14750" max="14752" width="20.7109375" style="5" customWidth="1"/>
    <col min="14753" max="14940" width="8.85546875" style="5"/>
    <col min="14941" max="14941" width="6.140625" style="5" customWidth="1"/>
    <col min="14942" max="14942" width="20.28515625" style="5" customWidth="1"/>
    <col min="14943" max="14943" width="12.42578125" style="5" customWidth="1"/>
    <col min="14944" max="14944" width="13" style="5" customWidth="1"/>
    <col min="14945" max="14945" width="12.5703125" style="5" customWidth="1"/>
    <col min="14946" max="14959" width="11.7109375" style="5" customWidth="1"/>
    <col min="14960" max="14960" width="12.28515625" style="5" customWidth="1"/>
    <col min="14961" max="14961" width="11.7109375" style="5" customWidth="1"/>
    <col min="14962" max="14962" width="12.85546875" style="5" customWidth="1"/>
    <col min="14963" max="14963" width="11.7109375" style="5" customWidth="1"/>
    <col min="14964" max="14964" width="12.7109375" style="5" customWidth="1"/>
    <col min="14965" max="14965" width="11.7109375" style="5" customWidth="1"/>
    <col min="14966" max="14966" width="13" style="5" customWidth="1"/>
    <col min="14967" max="14978" width="11.7109375" style="5" customWidth="1"/>
    <col min="14979" max="14979" width="12.5703125" style="5" customWidth="1"/>
    <col min="14980" max="14980" width="11.7109375" style="5" customWidth="1"/>
    <col min="14981" max="14981" width="13" style="5" customWidth="1"/>
    <col min="14982" max="14987" width="11.7109375" style="5" customWidth="1"/>
    <col min="14988" max="14988" width="13.7109375" style="5" customWidth="1"/>
    <col min="14989" max="14989" width="13.140625" style="5" customWidth="1"/>
    <col min="14990" max="14993" width="13" style="5" customWidth="1"/>
    <col min="14994" max="15000" width="11.7109375" style="5" customWidth="1"/>
    <col min="15001" max="15001" width="10.85546875" style="5" customWidth="1"/>
    <col min="15002" max="15002" width="11.7109375" style="5" customWidth="1"/>
    <col min="15003" max="15005" width="22.7109375" style="5" customWidth="1"/>
    <col min="15006" max="15008" width="20.7109375" style="5" customWidth="1"/>
    <col min="15009" max="15196" width="8.85546875" style="5"/>
    <col min="15197" max="15197" width="6.140625" style="5" customWidth="1"/>
    <col min="15198" max="15198" width="20.28515625" style="5" customWidth="1"/>
    <col min="15199" max="15199" width="12.42578125" style="5" customWidth="1"/>
    <col min="15200" max="15200" width="13" style="5" customWidth="1"/>
    <col min="15201" max="15201" width="12.5703125" style="5" customWidth="1"/>
    <col min="15202" max="15215" width="11.7109375" style="5" customWidth="1"/>
    <col min="15216" max="15216" width="12.28515625" style="5" customWidth="1"/>
    <col min="15217" max="15217" width="11.7109375" style="5" customWidth="1"/>
    <col min="15218" max="15218" width="12.85546875" style="5" customWidth="1"/>
    <col min="15219" max="15219" width="11.7109375" style="5" customWidth="1"/>
    <col min="15220" max="15220" width="12.7109375" style="5" customWidth="1"/>
    <col min="15221" max="15221" width="11.7109375" style="5" customWidth="1"/>
    <col min="15222" max="15222" width="13" style="5" customWidth="1"/>
    <col min="15223" max="15234" width="11.7109375" style="5" customWidth="1"/>
    <col min="15235" max="15235" width="12.5703125" style="5" customWidth="1"/>
    <col min="15236" max="15236" width="11.7109375" style="5" customWidth="1"/>
    <col min="15237" max="15237" width="13" style="5" customWidth="1"/>
    <col min="15238" max="15243" width="11.7109375" style="5" customWidth="1"/>
    <col min="15244" max="15244" width="13.7109375" style="5" customWidth="1"/>
    <col min="15245" max="15245" width="13.140625" style="5" customWidth="1"/>
    <col min="15246" max="15249" width="13" style="5" customWidth="1"/>
    <col min="15250" max="15256" width="11.7109375" style="5" customWidth="1"/>
    <col min="15257" max="15257" width="10.85546875" style="5" customWidth="1"/>
    <col min="15258" max="15258" width="11.7109375" style="5" customWidth="1"/>
    <col min="15259" max="15261" width="22.7109375" style="5" customWidth="1"/>
    <col min="15262" max="15264" width="20.7109375" style="5" customWidth="1"/>
    <col min="15265" max="15452" width="8.85546875" style="5"/>
    <col min="15453" max="15453" width="6.140625" style="5" customWidth="1"/>
    <col min="15454" max="15454" width="20.28515625" style="5" customWidth="1"/>
    <col min="15455" max="15455" width="12.42578125" style="5" customWidth="1"/>
    <col min="15456" max="15456" width="13" style="5" customWidth="1"/>
    <col min="15457" max="15457" width="12.5703125" style="5" customWidth="1"/>
    <col min="15458" max="15471" width="11.7109375" style="5" customWidth="1"/>
    <col min="15472" max="15472" width="12.28515625" style="5" customWidth="1"/>
    <col min="15473" max="15473" width="11.7109375" style="5" customWidth="1"/>
    <col min="15474" max="15474" width="12.85546875" style="5" customWidth="1"/>
    <col min="15475" max="15475" width="11.7109375" style="5" customWidth="1"/>
    <col min="15476" max="15476" width="12.7109375" style="5" customWidth="1"/>
    <col min="15477" max="15477" width="11.7109375" style="5" customWidth="1"/>
    <col min="15478" max="15478" width="13" style="5" customWidth="1"/>
    <col min="15479" max="15490" width="11.7109375" style="5" customWidth="1"/>
    <col min="15491" max="15491" width="12.5703125" style="5" customWidth="1"/>
    <col min="15492" max="15492" width="11.7109375" style="5" customWidth="1"/>
    <col min="15493" max="15493" width="13" style="5" customWidth="1"/>
    <col min="15494" max="15499" width="11.7109375" style="5" customWidth="1"/>
    <col min="15500" max="15500" width="13.7109375" style="5" customWidth="1"/>
    <col min="15501" max="15501" width="13.140625" style="5" customWidth="1"/>
    <col min="15502" max="15505" width="13" style="5" customWidth="1"/>
    <col min="15506" max="15512" width="11.7109375" style="5" customWidth="1"/>
    <col min="15513" max="15513" width="10.85546875" style="5" customWidth="1"/>
    <col min="15514" max="15514" width="11.7109375" style="5" customWidth="1"/>
    <col min="15515" max="15517" width="22.7109375" style="5" customWidth="1"/>
    <col min="15518" max="15520" width="20.7109375" style="5" customWidth="1"/>
    <col min="15521" max="15708" width="8.85546875" style="5"/>
    <col min="15709" max="15709" width="6.140625" style="5" customWidth="1"/>
    <col min="15710" max="15710" width="20.28515625" style="5" customWidth="1"/>
    <col min="15711" max="15711" width="12.42578125" style="5" customWidth="1"/>
    <col min="15712" max="15712" width="13" style="5" customWidth="1"/>
    <col min="15713" max="15713" width="12.5703125" style="5" customWidth="1"/>
    <col min="15714" max="15727" width="11.7109375" style="5" customWidth="1"/>
    <col min="15728" max="15728" width="12.28515625" style="5" customWidth="1"/>
    <col min="15729" max="15729" width="11.7109375" style="5" customWidth="1"/>
    <col min="15730" max="15730" width="12.85546875" style="5" customWidth="1"/>
    <col min="15731" max="15731" width="11.7109375" style="5" customWidth="1"/>
    <col min="15732" max="15732" width="12.7109375" style="5" customWidth="1"/>
    <col min="15733" max="15733" width="11.7109375" style="5" customWidth="1"/>
    <col min="15734" max="15734" width="13" style="5" customWidth="1"/>
    <col min="15735" max="15746" width="11.7109375" style="5" customWidth="1"/>
    <col min="15747" max="15747" width="12.5703125" style="5" customWidth="1"/>
    <col min="15748" max="15748" width="11.7109375" style="5" customWidth="1"/>
    <col min="15749" max="15749" width="13" style="5" customWidth="1"/>
    <col min="15750" max="15755" width="11.7109375" style="5" customWidth="1"/>
    <col min="15756" max="15756" width="13.7109375" style="5" customWidth="1"/>
    <col min="15757" max="15757" width="13.140625" style="5" customWidth="1"/>
    <col min="15758" max="15761" width="13" style="5" customWidth="1"/>
    <col min="15762" max="15768" width="11.7109375" style="5" customWidth="1"/>
    <col min="15769" max="15769" width="10.85546875" style="5" customWidth="1"/>
    <col min="15770" max="15770" width="11.7109375" style="5" customWidth="1"/>
    <col min="15771" max="15773" width="22.7109375" style="5" customWidth="1"/>
    <col min="15774" max="15776" width="20.7109375" style="5" customWidth="1"/>
    <col min="15777" max="15964" width="8.85546875" style="5"/>
    <col min="15965" max="15965" width="6.140625" style="5" customWidth="1"/>
    <col min="15966" max="15966" width="20.28515625" style="5" customWidth="1"/>
    <col min="15967" max="15967" width="12.42578125" style="5" customWidth="1"/>
    <col min="15968" max="15968" width="13" style="5" customWidth="1"/>
    <col min="15969" max="15969" width="12.5703125" style="5" customWidth="1"/>
    <col min="15970" max="15983" width="11.7109375" style="5" customWidth="1"/>
    <col min="15984" max="15984" width="12.28515625" style="5" customWidth="1"/>
    <col min="15985" max="15985" width="11.7109375" style="5" customWidth="1"/>
    <col min="15986" max="15986" width="12.85546875" style="5" customWidth="1"/>
    <col min="15987" max="15987" width="11.7109375" style="5" customWidth="1"/>
    <col min="15988" max="15988" width="12.7109375" style="5" customWidth="1"/>
    <col min="15989" max="15989" width="11.7109375" style="5" customWidth="1"/>
    <col min="15990" max="15990" width="13" style="5" customWidth="1"/>
    <col min="15991" max="16002" width="11.7109375" style="5" customWidth="1"/>
    <col min="16003" max="16003" width="12.5703125" style="5" customWidth="1"/>
    <col min="16004" max="16004" width="11.7109375" style="5" customWidth="1"/>
    <col min="16005" max="16005" width="13" style="5" customWidth="1"/>
    <col min="16006" max="16011" width="11.7109375" style="5" customWidth="1"/>
    <col min="16012" max="16012" width="13.7109375" style="5" customWidth="1"/>
    <col min="16013" max="16013" width="13.140625" style="5" customWidth="1"/>
    <col min="16014" max="16017" width="13" style="5" customWidth="1"/>
    <col min="16018" max="16024" width="11.7109375" style="5" customWidth="1"/>
    <col min="16025" max="16025" width="10.85546875" style="5" customWidth="1"/>
    <col min="16026" max="16026" width="11.7109375" style="5" customWidth="1"/>
    <col min="16027" max="16029" width="22.7109375" style="5" customWidth="1"/>
    <col min="16030" max="16032" width="20.7109375" style="5" customWidth="1"/>
    <col min="16033" max="16384" width="8.85546875" style="5"/>
  </cols>
  <sheetData>
    <row r="1" spans="1:10" s="31" customFormat="1" ht="24.75" customHeight="1">
      <c r="A1" s="29"/>
      <c r="B1" s="30"/>
      <c r="C1" s="23" t="s">
        <v>144</v>
      </c>
      <c r="D1" s="23"/>
      <c r="E1" s="23"/>
      <c r="F1" s="23"/>
      <c r="G1" s="23"/>
      <c r="H1" s="23"/>
      <c r="I1" s="23"/>
      <c r="J1" s="23"/>
    </row>
    <row r="2" spans="1:10" ht="15.75" customHeight="1">
      <c r="A2" s="24"/>
      <c r="B2" s="24"/>
      <c r="C2" s="141" t="s">
        <v>80</v>
      </c>
      <c r="D2" s="32"/>
      <c r="E2" s="32"/>
      <c r="F2" s="32"/>
      <c r="G2" s="32"/>
      <c r="H2" s="32"/>
      <c r="I2" s="32"/>
      <c r="J2" s="32"/>
    </row>
    <row r="3" spans="1:10" s="33" customFormat="1" ht="37.5" customHeight="1">
      <c r="A3" s="98" t="s">
        <v>67</v>
      </c>
      <c r="B3" s="98" t="s">
        <v>65</v>
      </c>
      <c r="C3" s="99" t="s">
        <v>118</v>
      </c>
      <c r="D3" s="99" t="s">
        <v>112</v>
      </c>
      <c r="E3" s="99" t="s">
        <v>119</v>
      </c>
      <c r="F3" s="99" t="s">
        <v>113</v>
      </c>
      <c r="G3" s="99" t="s">
        <v>114</v>
      </c>
      <c r="H3" s="99" t="s">
        <v>115</v>
      </c>
      <c r="I3" s="99" t="s">
        <v>116</v>
      </c>
      <c r="J3" s="98" t="s">
        <v>117</v>
      </c>
    </row>
    <row r="4" spans="1:10" s="34" customFormat="1" ht="13.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</row>
    <row r="5" spans="1:10" s="35" customFormat="1" ht="19.5" customHeight="1">
      <c r="A5" s="25">
        <v>1</v>
      </c>
      <c r="B5" s="26" t="s">
        <v>16</v>
      </c>
      <c r="C5" s="95">
        <f>IF(EnrlST!V6=0,"",ROUND(EnrlST!V6/EnrlST!U6*100,0))</f>
        <v>94</v>
      </c>
      <c r="D5" s="95">
        <f>IF(EnrlST!AG6=0,"",ROUND(EnrlST!AH6/EnrlST!AG6*100,0))</f>
        <v>91</v>
      </c>
      <c r="E5" s="95">
        <f>IF(EnrlST!AJ6=0,"",ROUND(EnrlST!AK6/EnrlST!AJ6*100,0))</f>
        <v>93</v>
      </c>
      <c r="F5" s="95">
        <f>IF(EnrlST!AS6=0,"",ROUND(EnrlST!AT6/EnrlST!AS6*100,0))</f>
        <v>88</v>
      </c>
      <c r="G5" s="95">
        <f>IF(EnrlST!AV6=0,"",ROUND(EnrlST!AW6/EnrlST!AV6*100,0))</f>
        <v>93</v>
      </c>
      <c r="H5" s="95">
        <f>IF(EnrlST!BE6=0,"",ROUND(EnrlST!BF6/EnrlST!BE6*100,0))</f>
        <v>71</v>
      </c>
      <c r="I5" s="95">
        <f>IF((EnrlST!AT6+EnrlST!BF6)=0,"",ROUND((EnrlST!AT6+EnrlST!BF6)/(EnrlST!BE6+EnrlST!AS6)*100,0))</f>
        <v>81</v>
      </c>
      <c r="J5" s="95">
        <f>IF(EnrlST!BH6=0,"",ROUND(EnrlST!BI6/EnrlST!BH6*100,0))</f>
        <v>91</v>
      </c>
    </row>
    <row r="6" spans="1:10" s="35" customFormat="1" ht="19.5" customHeight="1">
      <c r="A6" s="25">
        <v>2</v>
      </c>
      <c r="B6" s="26" t="s">
        <v>17</v>
      </c>
      <c r="C6" s="95">
        <f>IF(EnrlST!V7=0,"",ROUND(EnrlST!V7/EnrlST!U7*100,0))</f>
        <v>96</v>
      </c>
      <c r="D6" s="95">
        <f>IF(EnrlST!AG7=0,"",ROUND(EnrlST!AH7/EnrlST!AG7*100,0))</f>
        <v>97</v>
      </c>
      <c r="E6" s="95">
        <f>IF(EnrlST!AJ7=0,"",ROUND(EnrlST!AK7/EnrlST!AJ7*100,0))</f>
        <v>96</v>
      </c>
      <c r="F6" s="95">
        <f>IF(EnrlST!AS7=0,"",ROUND(EnrlST!AT7/EnrlST!AS7*100,0))</f>
        <v>94</v>
      </c>
      <c r="G6" s="95">
        <f>IF(EnrlST!AV7=0,"",ROUND(EnrlST!AW7/EnrlST!AV7*100,0))</f>
        <v>96</v>
      </c>
      <c r="H6" s="95">
        <f>IF(EnrlST!BE7=0,"",ROUND(EnrlST!BF7/EnrlST!BE7*100,0))</f>
        <v>89</v>
      </c>
      <c r="I6" s="95">
        <f>IF((EnrlST!AT7+EnrlST!BF7)=0,"",ROUND((EnrlST!AT7+EnrlST!BF7)/(EnrlST!BE7+EnrlST!AS7)*100,0))</f>
        <v>92</v>
      </c>
      <c r="J6" s="95">
        <f>IF(EnrlST!BH7=0,"",ROUND(EnrlST!BI7/EnrlST!BH7*100,0))</f>
        <v>95</v>
      </c>
    </row>
    <row r="7" spans="1:10" s="35" customFormat="1" ht="19.5" customHeight="1">
      <c r="A7" s="25">
        <v>3</v>
      </c>
      <c r="B7" s="26" t="s">
        <v>48</v>
      </c>
      <c r="C7" s="95">
        <f>IF(EnrlST!V8=0,"",ROUND(EnrlST!V8/EnrlST!U8*100,0))</f>
        <v>100</v>
      </c>
      <c r="D7" s="95">
        <f>IF(EnrlST!AG8=0,"",ROUND(EnrlST!AH8/EnrlST!AG8*100,0))</f>
        <v>97</v>
      </c>
      <c r="E7" s="95">
        <f>IF(EnrlST!AJ8=0,"",ROUND(EnrlST!AK8/EnrlST!AJ8*100,0))</f>
        <v>99</v>
      </c>
      <c r="F7" s="95">
        <f>IF(EnrlST!AS8=0,"",ROUND(EnrlST!AT8/EnrlST!AS8*100,0))</f>
        <v>102</v>
      </c>
      <c r="G7" s="95">
        <f>IF(EnrlST!AV8=0,"",ROUND(EnrlST!AW8/EnrlST!AV8*100,0))</f>
        <v>99</v>
      </c>
      <c r="H7" s="95">
        <f>IF(EnrlST!BE8=0,"",ROUND(EnrlST!BF8/EnrlST!BE8*100,0))</f>
        <v>96</v>
      </c>
      <c r="I7" s="95">
        <f>IF((EnrlST!AT8+EnrlST!BF8)=0,"",ROUND((EnrlST!AT8+EnrlST!BF8)/(EnrlST!BE8+EnrlST!AS8)*100,0))</f>
        <v>101</v>
      </c>
      <c r="J7" s="95">
        <f>IF(EnrlST!BH8=0,"",ROUND(EnrlST!BI8/EnrlST!BH8*100,0))</f>
        <v>99</v>
      </c>
    </row>
    <row r="8" spans="1:10" s="35" customFormat="1" ht="19.5" customHeight="1">
      <c r="A8" s="25">
        <v>4</v>
      </c>
      <c r="B8" s="26" t="s">
        <v>18</v>
      </c>
      <c r="C8" s="95">
        <f>IF(EnrlST!V9=0,"",ROUND(EnrlST!V9/EnrlST!U9*100,0))</f>
        <v>85</v>
      </c>
      <c r="D8" s="95">
        <f>IF(EnrlST!AG9=0,"",ROUND(EnrlST!AH9/EnrlST!AG9*100,0))</f>
        <v>84</v>
      </c>
      <c r="E8" s="95">
        <f>IF(EnrlST!AJ9=0,"",ROUND(EnrlST!AK9/EnrlST!AJ9*100,0))</f>
        <v>85</v>
      </c>
      <c r="F8" s="95">
        <f>IF(EnrlST!AS9=0,"",ROUND(EnrlST!AT9/EnrlST!AS9*100,0))</f>
        <v>75</v>
      </c>
      <c r="G8" s="95">
        <f>IF(EnrlST!AV9=0,"",ROUND(EnrlST!AW9/EnrlST!AV9*100,0))</f>
        <v>84</v>
      </c>
      <c r="H8" s="95">
        <f>IF(EnrlST!BE9=0,"",ROUND(EnrlST!BF9/EnrlST!BE9*100,0))</f>
        <v>64</v>
      </c>
      <c r="I8" s="95">
        <f>IF((EnrlST!AT9+EnrlST!BF9)=0,"",ROUND((EnrlST!AT9+EnrlST!BF9)/(EnrlST!BE9+EnrlST!AS9)*100,0))</f>
        <v>71</v>
      </c>
      <c r="J8" s="95">
        <f>IF(EnrlST!BH9=0,"",ROUND(EnrlST!BI9/EnrlST!BH9*100,0))</f>
        <v>83</v>
      </c>
    </row>
    <row r="9" spans="1:10" s="35" customFormat="1" ht="19.5" customHeight="1">
      <c r="A9" s="25">
        <v>5</v>
      </c>
      <c r="B9" s="28" t="s">
        <v>19</v>
      </c>
      <c r="C9" s="95">
        <f>IF(EnrlST!V10=0,"",ROUND(EnrlST!V10/EnrlST!U10*100,0))</f>
        <v>94</v>
      </c>
      <c r="D9" s="95">
        <f>IF(EnrlST!AG10=0,"",ROUND(EnrlST!AH10/EnrlST!AG10*100,0))</f>
        <v>90</v>
      </c>
      <c r="E9" s="95">
        <f>IF(EnrlST!AJ10=0,"",ROUND(EnrlST!AK10/EnrlST!AJ10*100,0))</f>
        <v>93</v>
      </c>
      <c r="F9" s="95">
        <f>IF(EnrlST!AS10=0,"",ROUND(EnrlST!AT10/EnrlST!AS10*100,0))</f>
        <v>95</v>
      </c>
      <c r="G9" s="95">
        <f>IF(EnrlST!AV10=0,"",ROUND(EnrlST!AW10/EnrlST!AV10*100,0))</f>
        <v>93</v>
      </c>
      <c r="H9" s="95">
        <f>IF(EnrlST!BE10=0,"",ROUND(EnrlST!BF10/EnrlST!BE10*100,0))</f>
        <v>83</v>
      </c>
      <c r="I9" s="95">
        <f>IF((EnrlST!AT10+EnrlST!BF10)=0,"",ROUND((EnrlST!AT10+EnrlST!BF10)/(EnrlST!BE10+EnrlST!AS10)*100,0))</f>
        <v>91</v>
      </c>
      <c r="J9" s="95">
        <f>IF(EnrlST!BH10=0,"",ROUND(EnrlST!BI10/EnrlST!BH10*100,0))</f>
        <v>92</v>
      </c>
    </row>
    <row r="10" spans="1:10" s="35" customFormat="1" ht="19.5" customHeight="1">
      <c r="A10" s="25">
        <v>6</v>
      </c>
      <c r="B10" s="26" t="s">
        <v>20</v>
      </c>
      <c r="C10" s="95">
        <f>IF(EnrlST!V11=0,"",ROUND(EnrlST!V11/EnrlST!U11*100,0))</f>
        <v>95</v>
      </c>
      <c r="D10" s="95">
        <f>IF(EnrlST!AG11=0,"",ROUND(EnrlST!AH11/EnrlST!AG11*100,0))</f>
        <v>91</v>
      </c>
      <c r="E10" s="95">
        <f>IF(EnrlST!AJ11=0,"",ROUND(EnrlST!AK11/EnrlST!AJ11*100,0))</f>
        <v>93</v>
      </c>
      <c r="F10" s="95">
        <f>IF(EnrlST!AS11=0,"",ROUND(EnrlST!AT11/EnrlST!AS11*100,0))</f>
        <v>100</v>
      </c>
      <c r="G10" s="95">
        <f>IF(EnrlST!AV11=0,"",ROUND(EnrlST!AW11/EnrlST!AV11*100,0))</f>
        <v>95</v>
      </c>
      <c r="H10" s="95">
        <f>IF(EnrlST!BE11=0,"",ROUND(EnrlST!BF11/EnrlST!BE11*100,0))</f>
        <v>110</v>
      </c>
      <c r="I10" s="95">
        <f>IF((EnrlST!AT11+EnrlST!BF11)=0,"",ROUND((EnrlST!AT11+EnrlST!BF11)/(EnrlST!BE11+EnrlST!AS11)*100,0))</f>
        <v>103</v>
      </c>
      <c r="J10" s="95">
        <f>IF(EnrlST!BH11=0,"",ROUND(EnrlST!BI11/EnrlST!BH11*100,0))</f>
        <v>96</v>
      </c>
    </row>
    <row r="11" spans="1:10" s="35" customFormat="1" ht="19.5" customHeight="1">
      <c r="A11" s="25">
        <v>7</v>
      </c>
      <c r="B11" s="26" t="s">
        <v>21</v>
      </c>
      <c r="C11" s="95">
        <f>IF(EnrlST!V12=0,"",ROUND(EnrlST!V12/EnrlST!U12*100,0))</f>
        <v>93</v>
      </c>
      <c r="D11" s="95">
        <f>IF(EnrlST!AG12=0,"",ROUND(EnrlST!AH12/EnrlST!AG12*100,0))</f>
        <v>89</v>
      </c>
      <c r="E11" s="95">
        <f>IF(EnrlST!AJ12=0,"",ROUND(EnrlST!AK12/EnrlST!AJ12*100,0))</f>
        <v>92</v>
      </c>
      <c r="F11" s="95">
        <f>IF(EnrlST!AS12=0,"",ROUND(EnrlST!AT12/EnrlST!AS12*100,0))</f>
        <v>83</v>
      </c>
      <c r="G11" s="95">
        <f>IF(EnrlST!AV12=0,"",ROUND(EnrlST!AW12/EnrlST!AV12*100,0))</f>
        <v>91</v>
      </c>
      <c r="H11" s="95">
        <f>IF(EnrlST!BE12=0,"",ROUND(EnrlST!BF12/EnrlST!BE12*100,0))</f>
        <v>81</v>
      </c>
      <c r="I11" s="95">
        <f>IF((EnrlST!AT12+EnrlST!BF12)=0,"",ROUND((EnrlST!AT12+EnrlST!BF12)/(EnrlST!BE12+EnrlST!AS12)*100,0))</f>
        <v>82</v>
      </c>
      <c r="J11" s="95">
        <f>IF(EnrlST!BH12=0,"",ROUND(EnrlST!BI12/EnrlST!BH12*100,0))</f>
        <v>90</v>
      </c>
    </row>
    <row r="12" spans="1:10" s="35" customFormat="1" ht="19.5" customHeight="1">
      <c r="A12" s="25">
        <v>8</v>
      </c>
      <c r="B12" s="26" t="s">
        <v>22</v>
      </c>
      <c r="C12" s="95" t="str">
        <f>IF(EnrlST!V13=0,"",ROUND(EnrlST!V13/EnrlST!U13*100,0))</f>
        <v/>
      </c>
      <c r="D12" s="95" t="str">
        <f>IF(EnrlST!AG13=0,"",ROUND(EnrlST!AH13/EnrlST!AG13*100,0))</f>
        <v/>
      </c>
      <c r="E12" s="95" t="str">
        <f>IF(EnrlST!AJ13=0,"",ROUND(EnrlST!AK13/EnrlST!AJ13*100,0))</f>
        <v/>
      </c>
      <c r="F12" s="95" t="str">
        <f>IF(EnrlST!AS13=0,"",ROUND(EnrlST!AT13/EnrlST!AS13*100,0))</f>
        <v/>
      </c>
      <c r="G12" s="95" t="str">
        <f>IF(EnrlST!AV13=0,"",ROUND(EnrlST!AW13/EnrlST!AV13*100,0))</f>
        <v/>
      </c>
      <c r="H12" s="95" t="str">
        <f>IF(EnrlST!BE13=0,"",ROUND(EnrlST!BF13/EnrlST!BE13*100,0))</f>
        <v/>
      </c>
      <c r="I12" s="95" t="str">
        <f>IF((EnrlST!AT13+EnrlST!BF13)=0,"",ROUND((EnrlST!AT13+EnrlST!BF13)/(EnrlST!BE13+EnrlST!AS13)*100,0))</f>
        <v/>
      </c>
      <c r="J12" s="95" t="str">
        <f>IF(EnrlST!BH13=0,"",ROUND(EnrlST!BI13/EnrlST!BH13*100,0))</f>
        <v/>
      </c>
    </row>
    <row r="13" spans="1:10" s="35" customFormat="1" ht="19.5" customHeight="1">
      <c r="A13" s="25">
        <v>9</v>
      </c>
      <c r="B13" s="26" t="s">
        <v>23</v>
      </c>
      <c r="C13" s="95">
        <f>IF(EnrlST!V14=0,"",ROUND(EnrlST!V14/EnrlST!U14*100,0))</f>
        <v>94</v>
      </c>
      <c r="D13" s="95">
        <f>IF(EnrlST!AG14=0,"",ROUND(EnrlST!AH14/EnrlST!AG14*100,0))</f>
        <v>93</v>
      </c>
      <c r="E13" s="95">
        <f>IF(EnrlST!AJ14=0,"",ROUND(EnrlST!AK14/EnrlST!AJ14*100,0))</f>
        <v>94</v>
      </c>
      <c r="F13" s="95">
        <f>IF(EnrlST!AS14=0,"",ROUND(EnrlST!AT14/EnrlST!AS14*100,0))</f>
        <v>91</v>
      </c>
      <c r="G13" s="95">
        <f>IF(EnrlST!AV14=0,"",ROUND(EnrlST!AW14/EnrlST!AV14*100,0))</f>
        <v>93</v>
      </c>
      <c r="H13" s="95">
        <f>IF(EnrlST!BE14=0,"",ROUND(EnrlST!BF14/EnrlST!BE14*100,0))</f>
        <v>90</v>
      </c>
      <c r="I13" s="95">
        <f>IF((EnrlST!AT14+EnrlST!BF14)=0,"",ROUND((EnrlST!AT14+EnrlST!BF14)/(EnrlST!BE14+EnrlST!AS14)*100,0))</f>
        <v>91</v>
      </c>
      <c r="J13" s="95">
        <f>IF(EnrlST!BH14=0,"",ROUND(EnrlST!BI14/EnrlST!BH14*100,0))</f>
        <v>93</v>
      </c>
    </row>
    <row r="14" spans="1:10" s="35" customFormat="1" ht="19.5" customHeight="1">
      <c r="A14" s="25">
        <v>10</v>
      </c>
      <c r="B14" s="26" t="s">
        <v>24</v>
      </c>
      <c r="C14" s="95">
        <f>IF(EnrlST!V15=0,"",ROUND(EnrlST!V15/EnrlST!U15*100,0))</f>
        <v>86</v>
      </c>
      <c r="D14" s="95">
        <f>IF(EnrlST!AG15=0,"",ROUND(EnrlST!AH15/EnrlST!AG15*100,0))</f>
        <v>80</v>
      </c>
      <c r="E14" s="95">
        <f>IF(EnrlST!AJ15=0,"",ROUND(EnrlST!AK15/EnrlST!AJ15*100,0))</f>
        <v>84</v>
      </c>
      <c r="F14" s="95">
        <f>IF(EnrlST!AS15=0,"",ROUND(EnrlST!AT15/EnrlST!AS15*100,0))</f>
        <v>64</v>
      </c>
      <c r="G14" s="95">
        <f>IF(EnrlST!AV15=0,"",ROUND(EnrlST!AW15/EnrlST!AV15*100,0))</f>
        <v>82</v>
      </c>
      <c r="H14" s="95">
        <f>IF(EnrlST!BE15=0,"",ROUND(EnrlST!BF15/EnrlST!BE15*100,0))</f>
        <v>63</v>
      </c>
      <c r="I14" s="95">
        <f>IF((EnrlST!AT15+EnrlST!BF15)=0,"",ROUND((EnrlST!AT15+EnrlST!BF15)/(EnrlST!BE15+EnrlST!AS15)*100,0))</f>
        <v>64</v>
      </c>
      <c r="J14" s="95">
        <f>IF(EnrlST!BH15=0,"",ROUND(EnrlST!BI15/EnrlST!BH15*100,0))</f>
        <v>81</v>
      </c>
    </row>
    <row r="15" spans="1:10" s="35" customFormat="1" ht="19.5" customHeight="1">
      <c r="A15" s="25">
        <v>11</v>
      </c>
      <c r="B15" s="26" t="s">
        <v>52</v>
      </c>
      <c r="C15" s="95">
        <f>IF(EnrlST!V16=0,"",ROUND(EnrlST!V16/EnrlST!U16*100,0))</f>
        <v>95</v>
      </c>
      <c r="D15" s="95">
        <f>IF(EnrlST!AG16=0,"",ROUND(EnrlST!AH16/EnrlST!AG16*100,0))</f>
        <v>96</v>
      </c>
      <c r="E15" s="95">
        <f>IF(EnrlST!AJ16=0,"",ROUND(EnrlST!AK16/EnrlST!AJ16*100,0))</f>
        <v>96</v>
      </c>
      <c r="F15" s="95">
        <f>IF(EnrlST!AS16=0,"",ROUND(EnrlST!AT16/EnrlST!AS16*100,0))</f>
        <v>91</v>
      </c>
      <c r="G15" s="95">
        <f>IF(EnrlST!AV16=0,"",ROUND(EnrlST!AW16/EnrlST!AV16*100,0))</f>
        <v>95</v>
      </c>
      <c r="H15" s="95">
        <f>IF(EnrlST!BE16=0,"",ROUND(EnrlST!BF16/EnrlST!BE16*100,0))</f>
        <v>84</v>
      </c>
      <c r="I15" s="95">
        <f>IF((EnrlST!AT16+EnrlST!BF16)=0,"",ROUND((EnrlST!AT16+EnrlST!BF16)/(EnrlST!BE16+EnrlST!AS16)*100,0))</f>
        <v>89</v>
      </c>
      <c r="J15" s="95">
        <f>IF(EnrlST!BH16=0,"",ROUND(EnrlST!BI16/EnrlST!BH16*100,0))</f>
        <v>95</v>
      </c>
    </row>
    <row r="16" spans="1:10" s="35" customFormat="1" ht="19.5" customHeight="1">
      <c r="A16" s="25">
        <v>12</v>
      </c>
      <c r="B16" s="26" t="s">
        <v>25</v>
      </c>
      <c r="C16" s="95">
        <f>IF(EnrlST!V17=0,"",ROUND(EnrlST!V17/EnrlST!U17*100,0))</f>
        <v>94</v>
      </c>
      <c r="D16" s="95">
        <f>IF(EnrlST!AG17=0,"",ROUND(EnrlST!AH17/EnrlST!AG17*100,0))</f>
        <v>91</v>
      </c>
      <c r="E16" s="95">
        <f>IF(EnrlST!AJ17=0,"",ROUND(EnrlST!AK17/EnrlST!AJ17*100,0))</f>
        <v>93</v>
      </c>
      <c r="F16" s="95">
        <f>IF(EnrlST!AS17=0,"",ROUND(EnrlST!AT17/EnrlST!AS17*100,0))</f>
        <v>87</v>
      </c>
      <c r="G16" s="95">
        <f>IF(EnrlST!AV17=0,"",ROUND(EnrlST!AW17/EnrlST!AV17*100,0))</f>
        <v>92</v>
      </c>
      <c r="H16" s="95">
        <f>IF(EnrlST!BE17=0,"",ROUND(EnrlST!BF17/EnrlST!BE17*100,0))</f>
        <v>81</v>
      </c>
      <c r="I16" s="95">
        <f>IF((EnrlST!AT17+EnrlST!BF17)=0,"",ROUND((EnrlST!AT17+EnrlST!BF17)/(EnrlST!BE17+EnrlST!AS17)*100,0))</f>
        <v>85</v>
      </c>
      <c r="J16" s="95">
        <f>IF(EnrlST!BH17=0,"",ROUND(EnrlST!BI17/EnrlST!BH17*100,0))</f>
        <v>91</v>
      </c>
    </row>
    <row r="17" spans="1:10" s="35" customFormat="1" ht="19.5" customHeight="1">
      <c r="A17" s="25">
        <v>13</v>
      </c>
      <c r="B17" s="26" t="s">
        <v>26</v>
      </c>
      <c r="C17" s="95">
        <f>IF(EnrlST!V18=0,"",ROUND(EnrlST!V18/EnrlST!U18*100,0))</f>
        <v>91</v>
      </c>
      <c r="D17" s="95">
        <f>IF(EnrlST!AG18=0,"",ROUND(EnrlST!AH18/EnrlST!AG18*100,0))</f>
        <v>93</v>
      </c>
      <c r="E17" s="95">
        <f>IF(EnrlST!AJ18=0,"",ROUND(EnrlST!AK18/EnrlST!AJ18*100,0))</f>
        <v>92</v>
      </c>
      <c r="F17" s="95">
        <f>IF(EnrlST!AS18=0,"",ROUND(EnrlST!AT18/EnrlST!AS18*100,0))</f>
        <v>104</v>
      </c>
      <c r="G17" s="95">
        <f>IF(EnrlST!AV18=0,"",ROUND(EnrlST!AW18/EnrlST!AV18*100,0))</f>
        <v>94</v>
      </c>
      <c r="H17" s="95">
        <f>IF(EnrlST!BE18=0,"",ROUND(EnrlST!BF18/EnrlST!BE18*100,0))</f>
        <v>115</v>
      </c>
      <c r="I17" s="95">
        <f>IF((EnrlST!AT18+EnrlST!BF18)=0,"",ROUND((EnrlST!AT18+EnrlST!BF18)/(EnrlST!BE18+EnrlST!AS18)*100,0))</f>
        <v>107</v>
      </c>
      <c r="J17" s="95">
        <f>IF(EnrlST!BH18=0,"",ROUND(EnrlST!BI18/EnrlST!BH18*100,0))</f>
        <v>95</v>
      </c>
    </row>
    <row r="18" spans="1:10" s="35" customFormat="1" ht="19.5" customHeight="1">
      <c r="A18" s="25">
        <v>14</v>
      </c>
      <c r="B18" s="26" t="s">
        <v>27</v>
      </c>
      <c r="C18" s="95">
        <f>IF(EnrlST!V19=0,"",ROUND(EnrlST!V19/EnrlST!U19*100,0))</f>
        <v>98</v>
      </c>
      <c r="D18" s="95">
        <f>IF(EnrlST!AG19=0,"",ROUND(EnrlST!AH19/EnrlST!AG19*100,0))</f>
        <v>102</v>
      </c>
      <c r="E18" s="95">
        <f>IF(EnrlST!AJ19=0,"",ROUND(EnrlST!AK19/EnrlST!AJ19*100,0))</f>
        <v>99</v>
      </c>
      <c r="F18" s="95">
        <f>IF(EnrlST!AS19=0,"",ROUND(EnrlST!AT19/EnrlST!AS19*100,0))</f>
        <v>58</v>
      </c>
      <c r="G18" s="95">
        <f>IF(EnrlST!AV19=0,"",ROUND(EnrlST!AW19/EnrlST!AV19*100,0))</f>
        <v>95</v>
      </c>
      <c r="H18" s="95">
        <f>IF(EnrlST!BE19=0,"",ROUND(EnrlST!BF19/EnrlST!BE19*100,0))</f>
        <v>70</v>
      </c>
      <c r="I18" s="95">
        <f>IF((EnrlST!AT19+EnrlST!BF19)=0,"",ROUND((EnrlST!AT19+EnrlST!BF19)/(EnrlST!BE19+EnrlST!AS19)*100,0))</f>
        <v>62</v>
      </c>
      <c r="J18" s="95">
        <f>IF(EnrlST!BH19=0,"",ROUND(EnrlST!BI19/EnrlST!BH19*100,0))</f>
        <v>94</v>
      </c>
    </row>
    <row r="19" spans="1:10" s="35" customFormat="1" ht="19.5" customHeight="1">
      <c r="A19" s="25">
        <v>15</v>
      </c>
      <c r="B19" s="26" t="s">
        <v>28</v>
      </c>
      <c r="C19" s="95">
        <f>IF(EnrlST!V20=0,"",ROUND(EnrlST!V20/EnrlST!U20*100,0))</f>
        <v>91</v>
      </c>
      <c r="D19" s="95">
        <f>IF(EnrlST!AG20=0,"",ROUND(EnrlST!AH20/EnrlST!AG20*100,0))</f>
        <v>86</v>
      </c>
      <c r="E19" s="95">
        <f>IF(EnrlST!AJ20=0,"",ROUND(EnrlST!AK20/EnrlST!AJ20*100,0))</f>
        <v>90</v>
      </c>
      <c r="F19" s="95">
        <f>IF(EnrlST!AS20=0,"",ROUND(EnrlST!AT20/EnrlST!AS20*100,0))</f>
        <v>85</v>
      </c>
      <c r="G19" s="95">
        <f>IF(EnrlST!AV20=0,"",ROUND(EnrlST!AW20/EnrlST!AV20*100,0))</f>
        <v>89</v>
      </c>
      <c r="H19" s="95">
        <f>IF(EnrlST!BE20=0,"",ROUND(EnrlST!BF20/EnrlST!BE20*100,0))</f>
        <v>78</v>
      </c>
      <c r="I19" s="95">
        <f>IF((EnrlST!AT20+EnrlST!BF20)=0,"",ROUND((EnrlST!AT20+EnrlST!BF20)/(EnrlST!BE20+EnrlST!AS20)*100,0))</f>
        <v>82</v>
      </c>
      <c r="J19" s="95">
        <f>IF(EnrlST!BH20=0,"",ROUND(EnrlST!BI20/EnrlST!BH20*100,0))</f>
        <v>88</v>
      </c>
    </row>
    <row r="20" spans="1:10" s="35" customFormat="1" ht="19.5" customHeight="1">
      <c r="A20" s="25">
        <v>16</v>
      </c>
      <c r="B20" s="26" t="s">
        <v>29</v>
      </c>
      <c r="C20" s="95">
        <f>IF(EnrlST!V21=0,"",ROUND(EnrlST!V21/EnrlST!U21*100,0))</f>
        <v>99</v>
      </c>
      <c r="D20" s="95">
        <f>IF(EnrlST!AG21=0,"",ROUND(EnrlST!AH21/EnrlST!AG21*100,0))</f>
        <v>97</v>
      </c>
      <c r="E20" s="95">
        <f>IF(EnrlST!AJ21=0,"",ROUND(EnrlST!AK21/EnrlST!AJ21*100,0))</f>
        <v>99</v>
      </c>
      <c r="F20" s="95">
        <f>IF(EnrlST!AS21=0,"",ROUND(EnrlST!AT21/EnrlST!AS21*100,0))</f>
        <v>100</v>
      </c>
      <c r="G20" s="95">
        <f>IF(EnrlST!AV21=0,"",ROUND(EnrlST!AW21/EnrlST!AV21*100,0))</f>
        <v>99</v>
      </c>
      <c r="H20" s="95">
        <f>IF(EnrlST!BE21=0,"",ROUND(EnrlST!BF21/EnrlST!BE21*100,0))</f>
        <v>103</v>
      </c>
      <c r="I20" s="95">
        <f>IF((EnrlST!AT21+EnrlST!BF21)=0,"",ROUND((EnrlST!AT21+EnrlST!BF21)/(EnrlST!BE21+EnrlST!AS21)*100,0))</f>
        <v>101</v>
      </c>
      <c r="J20" s="95">
        <f>IF(EnrlST!BH21=0,"",ROUND(EnrlST!BI21/EnrlST!BH21*100,0))</f>
        <v>99</v>
      </c>
    </row>
    <row r="21" spans="1:10" s="35" customFormat="1" ht="19.5" customHeight="1">
      <c r="A21" s="25">
        <v>17</v>
      </c>
      <c r="B21" s="26" t="s">
        <v>30</v>
      </c>
      <c r="C21" s="95">
        <f>IF(EnrlST!V22=0,"",ROUND(EnrlST!V22/EnrlST!U22*100,0))</f>
        <v>102</v>
      </c>
      <c r="D21" s="95">
        <f>IF(EnrlST!AG22=0,"",ROUND(EnrlST!AH22/EnrlST!AG22*100,0))</f>
        <v>114</v>
      </c>
      <c r="E21" s="95">
        <f>IF(EnrlST!AJ22=0,"",ROUND(EnrlST!AK22/EnrlST!AJ22*100,0))</f>
        <v>105</v>
      </c>
      <c r="F21" s="95">
        <f>IF(EnrlST!AS22=0,"",ROUND(EnrlST!AT22/EnrlST!AS22*100,0))</f>
        <v>117</v>
      </c>
      <c r="G21" s="95">
        <f>IF(EnrlST!AV22=0,"",ROUND(EnrlST!AW22/EnrlST!AV22*100,0))</f>
        <v>106</v>
      </c>
      <c r="H21" s="95">
        <f>IF(EnrlST!BE22=0,"",ROUND(EnrlST!BF22/EnrlST!BE22*100,0))</f>
        <v>133</v>
      </c>
      <c r="I21" s="95">
        <f>IF((EnrlST!AT22+EnrlST!BF22)=0,"",ROUND((EnrlST!AT22+EnrlST!BF22)/(EnrlST!BE22+EnrlST!AS22)*100,0))</f>
        <v>120</v>
      </c>
      <c r="J21" s="95">
        <f>IF(EnrlST!BH22=0,"",ROUND(EnrlST!BI22/EnrlST!BH22*100,0))</f>
        <v>106</v>
      </c>
    </row>
    <row r="22" spans="1:10" s="35" customFormat="1" ht="19.5" customHeight="1">
      <c r="A22" s="25">
        <v>18</v>
      </c>
      <c r="B22" s="26" t="s">
        <v>31</v>
      </c>
      <c r="C22" s="95">
        <f>IF(EnrlST!V23=0,"",ROUND(EnrlST!V23/EnrlST!U23*100,0))</f>
        <v>91</v>
      </c>
      <c r="D22" s="95">
        <f>IF(EnrlST!AG23=0,"",ROUND(EnrlST!AH23/EnrlST!AG23*100,0))</f>
        <v>91</v>
      </c>
      <c r="E22" s="95">
        <f>IF(EnrlST!AJ23=0,"",ROUND(EnrlST!AK23/EnrlST!AJ23*100,0))</f>
        <v>91</v>
      </c>
      <c r="F22" s="95">
        <f>IF(EnrlST!AS23=0,"",ROUND(EnrlST!AT23/EnrlST!AS23*100,0))</f>
        <v>102</v>
      </c>
      <c r="G22" s="95">
        <f>IF(EnrlST!AV23=0,"",ROUND(EnrlST!AW23/EnrlST!AV23*100,0))</f>
        <v>93</v>
      </c>
      <c r="H22" s="95">
        <f>IF(EnrlST!BE23=0,"",ROUND(EnrlST!BF23/EnrlST!BE23*100,0))</f>
        <v>99</v>
      </c>
      <c r="I22" s="95">
        <f>IF((EnrlST!AT23+EnrlST!BF23)=0,"",ROUND((EnrlST!AT23+EnrlST!BF23)/(EnrlST!BE23+EnrlST!AS23)*100,0))</f>
        <v>101</v>
      </c>
      <c r="J22" s="95">
        <f>IF(EnrlST!BH23=0,"",ROUND(EnrlST!BI23/EnrlST!BH23*100,0))</f>
        <v>93</v>
      </c>
    </row>
    <row r="23" spans="1:10" s="35" customFormat="1" ht="19.5" customHeight="1">
      <c r="A23" s="25">
        <v>19</v>
      </c>
      <c r="B23" s="26" t="s">
        <v>54</v>
      </c>
      <c r="C23" s="95">
        <f>IF(EnrlST!V24=0,"",ROUND(EnrlST!V24/EnrlST!U24*100,0))</f>
        <v>92</v>
      </c>
      <c r="D23" s="95">
        <f>IF(EnrlST!AG24=0,"",ROUND(EnrlST!AH24/EnrlST!AG24*100,0))</f>
        <v>92</v>
      </c>
      <c r="E23" s="95">
        <f>IF(EnrlST!AJ24=0,"",ROUND(EnrlST!AK24/EnrlST!AJ24*100,0))</f>
        <v>92</v>
      </c>
      <c r="F23" s="95">
        <f>IF(EnrlST!AS24=0,"",ROUND(EnrlST!AT24/EnrlST!AS24*100,0))</f>
        <v>99</v>
      </c>
      <c r="G23" s="95">
        <f>IF(EnrlST!AV24=0,"",ROUND(EnrlST!AW24/EnrlST!AV24*100,0))</f>
        <v>93</v>
      </c>
      <c r="H23" s="95">
        <f>IF(EnrlST!BE24=0,"",ROUND(EnrlST!BF24/EnrlST!BE24*100,0))</f>
        <v>90</v>
      </c>
      <c r="I23" s="95">
        <f>IF((EnrlST!AT24+EnrlST!BF24)=0,"",ROUND((EnrlST!AT24+EnrlST!BF24)/(EnrlST!BE24+EnrlST!AS24)*100,0))</f>
        <v>95</v>
      </c>
      <c r="J23" s="95">
        <f>IF(EnrlST!BH24=0,"",ROUND(EnrlST!BI24/EnrlST!BH24*100,0))</f>
        <v>93</v>
      </c>
    </row>
    <row r="24" spans="1:10" s="35" customFormat="1" ht="19.5" customHeight="1">
      <c r="A24" s="25">
        <v>20</v>
      </c>
      <c r="B24" s="2" t="s">
        <v>55</v>
      </c>
      <c r="C24" s="95">
        <f>IF(EnrlST!V25=0,"",ROUND(EnrlST!V25/EnrlST!U25*100,0))</f>
        <v>95</v>
      </c>
      <c r="D24" s="95">
        <f>IF(EnrlST!AG25=0,"",ROUND(EnrlST!AH25/EnrlST!AG25*100,0))</f>
        <v>91</v>
      </c>
      <c r="E24" s="95">
        <f>IF(EnrlST!AJ25=0,"",ROUND(EnrlST!AK25/EnrlST!AJ25*100,0))</f>
        <v>94</v>
      </c>
      <c r="F24" s="95">
        <f>IF(EnrlST!AS25=0,"",ROUND(EnrlST!AT25/EnrlST!AS25*100,0))</f>
        <v>90</v>
      </c>
      <c r="G24" s="95">
        <f>IF(EnrlST!AV25=0,"",ROUND(EnrlST!AW25/EnrlST!AV25*100,0))</f>
        <v>93</v>
      </c>
      <c r="H24" s="95">
        <f>IF(EnrlST!BE25=0,"",ROUND(EnrlST!BF25/EnrlST!BE25*100,0))</f>
        <v>67</v>
      </c>
      <c r="I24" s="95">
        <f>IF((EnrlST!AT25+EnrlST!BF25)=0,"",ROUND((EnrlST!AT25+EnrlST!BF25)/(EnrlST!BE25+EnrlST!AS25)*100,0))</f>
        <v>83</v>
      </c>
      <c r="J24" s="95">
        <f>IF(EnrlST!BH25=0,"",ROUND(EnrlST!BI25/EnrlST!BH25*100,0))</f>
        <v>93</v>
      </c>
    </row>
    <row r="25" spans="1:10" s="35" customFormat="1" ht="19.5" customHeight="1">
      <c r="A25" s="25">
        <v>21</v>
      </c>
      <c r="B25" s="26" t="s">
        <v>74</v>
      </c>
      <c r="C25" s="95" t="str">
        <f>IF(EnrlST!V26=0,"",ROUND(EnrlST!V26/EnrlST!U26*100,0))</f>
        <v/>
      </c>
      <c r="D25" s="95" t="str">
        <f>IF(EnrlST!AG26=0,"",ROUND(EnrlST!AH26/EnrlST!AG26*100,0))</f>
        <v/>
      </c>
      <c r="E25" s="95" t="str">
        <f>IF(EnrlST!AJ26=0,"",ROUND(EnrlST!AK26/EnrlST!AJ26*100,0))</f>
        <v/>
      </c>
      <c r="F25" s="95" t="str">
        <f>IF(EnrlST!AS26=0,"",ROUND(EnrlST!AT26/EnrlST!AS26*100,0))</f>
        <v/>
      </c>
      <c r="G25" s="95" t="str">
        <f>IF(EnrlST!AV26=0,"",ROUND(EnrlST!AW26/EnrlST!AV26*100,0))</f>
        <v/>
      </c>
      <c r="H25" s="95" t="str">
        <f>IF(EnrlST!BE26=0,"",ROUND(EnrlST!BF26/EnrlST!BE26*100,0))</f>
        <v/>
      </c>
      <c r="I25" s="95" t="str">
        <f>IF((EnrlST!AT26+EnrlST!BF26)=0,"",ROUND((EnrlST!AT26+EnrlST!BF26)/(EnrlST!BE26+EnrlST!AS26)*100,0))</f>
        <v/>
      </c>
      <c r="J25" s="95" t="str">
        <f>IF(EnrlST!BH26=0,"",ROUND(EnrlST!BI26/EnrlST!BH26*100,0))</f>
        <v/>
      </c>
    </row>
    <row r="26" spans="1:10" s="35" customFormat="1" ht="19.5" customHeight="1">
      <c r="A26" s="25">
        <v>22</v>
      </c>
      <c r="B26" s="26" t="s">
        <v>32</v>
      </c>
      <c r="C26" s="95">
        <f>IF(EnrlST!V27=0,"",ROUND(EnrlST!V27/EnrlST!U27*100,0))</f>
        <v>88</v>
      </c>
      <c r="D26" s="95">
        <f>IF(EnrlST!AG27=0,"",ROUND(EnrlST!AH27/EnrlST!AG27*100,0))</f>
        <v>78</v>
      </c>
      <c r="E26" s="95">
        <f>IF(EnrlST!AJ27=0,"",ROUND(EnrlST!AK27/EnrlST!AJ27*100,0))</f>
        <v>85</v>
      </c>
      <c r="F26" s="95">
        <f>IF(EnrlST!AS27=0,"",ROUND(EnrlST!AT27/EnrlST!AS27*100,0))</f>
        <v>70</v>
      </c>
      <c r="G26" s="95">
        <f>IF(EnrlST!AV27=0,"",ROUND(EnrlST!AW27/EnrlST!AV27*100,0))</f>
        <v>83</v>
      </c>
      <c r="H26" s="95">
        <f>IF(EnrlST!BE27=0,"",ROUND(EnrlST!BF27/EnrlST!BE27*100,0))</f>
        <v>58</v>
      </c>
      <c r="I26" s="95">
        <f>IF((EnrlST!AT27+EnrlST!BF27)=0,"",ROUND((EnrlST!AT27+EnrlST!BF27)/(EnrlST!BE27+EnrlST!AS27)*100,0))</f>
        <v>66</v>
      </c>
      <c r="J26" s="95">
        <f>IF(EnrlST!BH27=0,"",ROUND(EnrlST!BI27/EnrlST!BH27*100,0))</f>
        <v>81</v>
      </c>
    </row>
    <row r="27" spans="1:10" s="35" customFormat="1" ht="19.5" customHeight="1">
      <c r="A27" s="25">
        <v>23</v>
      </c>
      <c r="B27" s="26" t="s">
        <v>33</v>
      </c>
      <c r="C27" s="95">
        <f>IF(EnrlST!V28=0,"",ROUND(EnrlST!V28/EnrlST!U28*100,0))</f>
        <v>102</v>
      </c>
      <c r="D27" s="95">
        <f>IF(EnrlST!AG28=0,"",ROUND(EnrlST!AH28/EnrlST!AG28*100,0))</f>
        <v>128</v>
      </c>
      <c r="E27" s="95">
        <f>IF(EnrlST!AJ28=0,"",ROUND(EnrlST!AK28/EnrlST!AJ28*100,0))</f>
        <v>110</v>
      </c>
      <c r="F27" s="95">
        <f>IF(EnrlST!AS28=0,"",ROUND(EnrlST!AT28/EnrlST!AS28*100,0))</f>
        <v>127</v>
      </c>
      <c r="G27" s="95">
        <f>IF(EnrlST!AV28=0,"",ROUND(EnrlST!AW28/EnrlST!AV28*100,0))</f>
        <v>112</v>
      </c>
      <c r="H27" s="95">
        <f>IF(EnrlST!BE28=0,"",ROUND(EnrlST!BF28/EnrlST!BE28*100,0))</f>
        <v>134</v>
      </c>
      <c r="I27" s="95">
        <f>IF((EnrlST!AT28+EnrlST!BF28)=0,"",ROUND((EnrlST!AT28+EnrlST!BF28)/(EnrlST!BE28+EnrlST!AS28)*100,0))</f>
        <v>129</v>
      </c>
      <c r="J27" s="95">
        <f>IF(EnrlST!BH28=0,"",ROUND(EnrlST!BI28/EnrlST!BH28*100,0))</f>
        <v>113</v>
      </c>
    </row>
    <row r="28" spans="1:10" s="35" customFormat="1" ht="19.5" customHeight="1">
      <c r="A28" s="25">
        <v>24</v>
      </c>
      <c r="B28" s="26" t="s">
        <v>34</v>
      </c>
      <c r="C28" s="95">
        <f>IF(EnrlST!V29=0,"",ROUND(EnrlST!V29/EnrlST!U29*100,0))</f>
        <v>95</v>
      </c>
      <c r="D28" s="95">
        <f>IF(EnrlST!AG29=0,"",ROUND(EnrlST!AH29/EnrlST!AG29*100,0))</f>
        <v>94</v>
      </c>
      <c r="E28" s="95">
        <f>IF(EnrlST!AJ29=0,"",ROUND(EnrlST!AK29/EnrlST!AJ29*100,0))</f>
        <v>94</v>
      </c>
      <c r="F28" s="95">
        <f>IF(EnrlST!AS29=0,"",ROUND(EnrlST!AT29/EnrlST!AS29*100,0))</f>
        <v>90</v>
      </c>
      <c r="G28" s="95">
        <f>IF(EnrlST!AV29=0,"",ROUND(EnrlST!AW29/EnrlST!AV29*100,0))</f>
        <v>94</v>
      </c>
      <c r="H28" s="95">
        <f>IF(EnrlST!BE29=0,"",ROUND(EnrlST!BF29/EnrlST!BE29*100,0))</f>
        <v>103</v>
      </c>
      <c r="I28" s="95">
        <f>IF((EnrlST!AT29+EnrlST!BF29)=0,"",ROUND((EnrlST!AT29+EnrlST!BF29)/(EnrlST!BE29+EnrlST!AS29)*100,0))</f>
        <v>94</v>
      </c>
      <c r="J28" s="95">
        <f>IF(EnrlST!BH29=0,"",ROUND(EnrlST!BI29/EnrlST!BH29*100,0))</f>
        <v>94</v>
      </c>
    </row>
    <row r="29" spans="1:10" s="35" customFormat="1" ht="19.5" customHeight="1">
      <c r="A29" s="25">
        <v>25</v>
      </c>
      <c r="B29" s="26" t="s">
        <v>35</v>
      </c>
      <c r="C29" s="95">
        <f>IF(EnrlST!V30=0,"",ROUND(EnrlST!V30/EnrlST!U30*100,0))</f>
        <v>95</v>
      </c>
      <c r="D29" s="95">
        <f>IF(EnrlST!AG30=0,"",ROUND(EnrlST!AH30/EnrlST!AG30*100,0))</f>
        <v>89</v>
      </c>
      <c r="E29" s="95">
        <f>IF(EnrlST!AJ30=0,"",ROUND(EnrlST!AK30/EnrlST!AJ30*100,0))</f>
        <v>93</v>
      </c>
      <c r="F29" s="95">
        <f>IF(EnrlST!AS30=0,"",ROUND(EnrlST!AT30/EnrlST!AS30*100,0))</f>
        <v>86</v>
      </c>
      <c r="G29" s="95">
        <f>IF(EnrlST!AV30=0,"",ROUND(EnrlST!AW30/EnrlST!AV30*100,0))</f>
        <v>92</v>
      </c>
      <c r="H29" s="95">
        <f>IF(EnrlST!BE30=0,"",ROUND(EnrlST!BF30/EnrlST!BE30*100,0))</f>
        <v>67</v>
      </c>
      <c r="I29" s="95">
        <f>IF((EnrlST!AT30+EnrlST!BF30)=0,"",ROUND((EnrlST!AT30+EnrlST!BF30)/(EnrlST!BE30+EnrlST!AS30)*100,0))</f>
        <v>82</v>
      </c>
      <c r="J29" s="95">
        <f>IF(EnrlST!BH30=0,"",ROUND(EnrlST!BI30/EnrlST!BH30*100,0))</f>
        <v>91</v>
      </c>
    </row>
    <row r="30" spans="1:10" s="35" customFormat="1" ht="19.5" customHeight="1">
      <c r="A30" s="25">
        <v>26</v>
      </c>
      <c r="B30" s="26" t="s">
        <v>36</v>
      </c>
      <c r="C30" s="95">
        <f>IF(EnrlST!V31=0,"",ROUND(EnrlST!V31/EnrlST!U31*100,0))</f>
        <v>93</v>
      </c>
      <c r="D30" s="95">
        <f>IF(EnrlST!AG31=0,"",ROUND(EnrlST!AH31/EnrlST!AG31*100,0))</f>
        <v>97</v>
      </c>
      <c r="E30" s="95">
        <f>IF(EnrlST!AJ31=0,"",ROUND(EnrlST!AK31/EnrlST!AJ31*100,0))</f>
        <v>94</v>
      </c>
      <c r="F30" s="95">
        <f>IF(EnrlST!AS31=0,"",ROUND(EnrlST!AT31/EnrlST!AS31*100,0))</f>
        <v>97</v>
      </c>
      <c r="G30" s="95">
        <f>IF(EnrlST!AV31=0,"",ROUND(EnrlST!AW31/EnrlST!AV31*100,0))</f>
        <v>94</v>
      </c>
      <c r="H30" s="95">
        <f>IF(EnrlST!BE31=0,"",ROUND(EnrlST!BF31/EnrlST!BE31*100,0))</f>
        <v>97</v>
      </c>
      <c r="I30" s="95">
        <f>IF((EnrlST!AT31+EnrlST!BF31)=0,"",ROUND((EnrlST!AT31+EnrlST!BF31)/(EnrlST!BE31+EnrlST!AS31)*100,0))</f>
        <v>97</v>
      </c>
      <c r="J30" s="95">
        <f>IF(EnrlST!BH31=0,"",ROUND(EnrlST!BI31/EnrlST!BH31*100,0))</f>
        <v>95</v>
      </c>
    </row>
    <row r="31" spans="1:10" s="35" customFormat="1" ht="19.5" customHeight="1">
      <c r="A31" s="25">
        <v>27</v>
      </c>
      <c r="B31" s="26" t="s">
        <v>37</v>
      </c>
      <c r="C31" s="95">
        <f>IF(EnrlST!V32=0,"",ROUND(EnrlST!V32/EnrlST!U32*100,0))</f>
        <v>97</v>
      </c>
      <c r="D31" s="95">
        <f>IF(EnrlST!AG32=0,"",ROUND(EnrlST!AH32/EnrlST!AG32*100,0))</f>
        <v>103</v>
      </c>
      <c r="E31" s="95">
        <f>IF(EnrlST!AJ32=0,"",ROUND(EnrlST!AK32/EnrlST!AJ32*100,0))</f>
        <v>99</v>
      </c>
      <c r="F31" s="95">
        <f>IF(EnrlST!AS32=0,"",ROUND(EnrlST!AT32/EnrlST!AS32*100,0))</f>
        <v>102</v>
      </c>
      <c r="G31" s="95">
        <f>IF(EnrlST!AV32=0,"",ROUND(EnrlST!AW32/EnrlST!AV32*100,0))</f>
        <v>100</v>
      </c>
      <c r="H31" s="95">
        <f>IF(EnrlST!BE32=0,"",ROUND(EnrlST!BF32/EnrlST!BE32*100,0))</f>
        <v>99</v>
      </c>
      <c r="I31" s="95">
        <f>IF((EnrlST!AT32+EnrlST!BF32)=0,"",ROUND((EnrlST!AT32+EnrlST!BF32)/(EnrlST!BE32+EnrlST!AS32)*100,0))</f>
        <v>101</v>
      </c>
      <c r="J31" s="95">
        <f>IF(EnrlST!BH32=0,"",ROUND(EnrlST!BI32/EnrlST!BH32*100,0))</f>
        <v>100</v>
      </c>
    </row>
    <row r="32" spans="1:10" s="35" customFormat="1" ht="19.5" customHeight="1">
      <c r="A32" s="25">
        <v>28</v>
      </c>
      <c r="B32" s="26" t="s">
        <v>38</v>
      </c>
      <c r="C32" s="95">
        <f>IF(EnrlST!V33=0,"",ROUND(EnrlST!V33/EnrlST!U33*100,0))</f>
        <v>98</v>
      </c>
      <c r="D32" s="95">
        <f>IF(EnrlST!AG33=0,"",ROUND(EnrlST!AH33/EnrlST!AG33*100,0))</f>
        <v>97</v>
      </c>
      <c r="E32" s="95">
        <f>IF(EnrlST!AJ33=0,"",ROUND(EnrlST!AK33/EnrlST!AJ33*100,0))</f>
        <v>98</v>
      </c>
      <c r="F32" s="95">
        <f>IF(EnrlST!AS33=0,"",ROUND(EnrlST!AT33/EnrlST!AS33*100,0))</f>
        <v>93</v>
      </c>
      <c r="G32" s="95">
        <f>IF(EnrlST!AV33=0,"",ROUND(EnrlST!AW33/EnrlST!AV33*100,0))</f>
        <v>97</v>
      </c>
      <c r="H32" s="95">
        <f>IF(EnrlST!BE33=0,"",ROUND(EnrlST!BF33/EnrlST!BE33*100,0))</f>
        <v>71</v>
      </c>
      <c r="I32" s="95">
        <f>IF((EnrlST!AT33+EnrlST!BF33)=0,"",ROUND((EnrlST!AT33+EnrlST!BF33)/(EnrlST!BE33+EnrlST!AS33)*100,0))</f>
        <v>85</v>
      </c>
      <c r="J32" s="95">
        <f>IF(EnrlST!BH33=0,"",ROUND(EnrlST!BI33/EnrlST!BH33*100,0))</f>
        <v>96</v>
      </c>
    </row>
    <row r="33" spans="1:10" s="35" customFormat="1" ht="19.5" customHeight="1">
      <c r="A33" s="25">
        <v>29</v>
      </c>
      <c r="B33" s="26" t="s">
        <v>39</v>
      </c>
      <c r="C33" s="95">
        <f>IF(EnrlST!V34=0,"",ROUND(EnrlST!V34/EnrlST!U34*100,0))</f>
        <v>94</v>
      </c>
      <c r="D33" s="95">
        <f>IF(EnrlST!AG34=0,"",ROUND(EnrlST!AH34/EnrlST!AG34*100,0))</f>
        <v>93</v>
      </c>
      <c r="E33" s="95">
        <f>IF(EnrlST!AJ34=0,"",ROUND(EnrlST!AK34/EnrlST!AJ34*100,0))</f>
        <v>94</v>
      </c>
      <c r="F33" s="95">
        <f>IF(EnrlST!AS34=0,"",ROUND(EnrlST!AT34/EnrlST!AS34*100,0))</f>
        <v>85</v>
      </c>
      <c r="G33" s="95">
        <f>IF(EnrlST!AV34=0,"",ROUND(EnrlST!AW34/EnrlST!AV34*100,0))</f>
        <v>92</v>
      </c>
      <c r="H33" s="95">
        <f>IF(EnrlST!BE34=0,"",ROUND(EnrlST!BF34/EnrlST!BE34*100,0))</f>
        <v>105</v>
      </c>
      <c r="I33" s="95">
        <f>IF((EnrlST!AT34+EnrlST!BF34)=0,"",ROUND((EnrlST!AT34+EnrlST!BF34)/(EnrlST!BE34+EnrlST!AS34)*100,0))</f>
        <v>93</v>
      </c>
      <c r="J33" s="95">
        <f>IF(EnrlST!BH34=0,"",ROUND(EnrlST!BI34/EnrlST!BH34*100,0))</f>
        <v>93</v>
      </c>
    </row>
    <row r="34" spans="1:10" s="35" customFormat="1" ht="19.5" customHeight="1">
      <c r="A34" s="25">
        <v>30</v>
      </c>
      <c r="B34" s="26" t="s">
        <v>40</v>
      </c>
      <c r="C34" s="95">
        <f>IF(EnrlST!V35=0,"",ROUND(EnrlST!V35/EnrlST!U35*100,0))</f>
        <v>75</v>
      </c>
      <c r="D34" s="95">
        <f>IF(EnrlST!AG35=0,"",ROUND(EnrlST!AH35/EnrlST!AG35*100,0))</f>
        <v>55</v>
      </c>
      <c r="E34" s="95">
        <f>IF(EnrlST!AJ35=0,"",ROUND(EnrlST!AK35/EnrlST!AJ35*100,0))</f>
        <v>68</v>
      </c>
      <c r="F34" s="95">
        <f>IF(EnrlST!AS35=0,"",ROUND(EnrlST!AT35/EnrlST!AS35*100,0))</f>
        <v>73</v>
      </c>
      <c r="G34" s="95">
        <f>IF(EnrlST!AV35=0,"",ROUND(EnrlST!AW35/EnrlST!AV35*100,0))</f>
        <v>69</v>
      </c>
      <c r="H34" s="95">
        <f>IF(EnrlST!BE35=0,"",ROUND(EnrlST!BF35/EnrlST!BE35*100,0))</f>
        <v>108</v>
      </c>
      <c r="I34" s="95">
        <f>IF((EnrlST!AT35+EnrlST!BF35)=0,"",ROUND((EnrlST!AT35+EnrlST!BF35)/(EnrlST!BE35+EnrlST!AS35)*100,0))</f>
        <v>94</v>
      </c>
      <c r="J34" s="95">
        <f>IF(EnrlST!BH35=0,"",ROUND(EnrlST!BI35/EnrlST!BH35*100,0))</f>
        <v>80</v>
      </c>
    </row>
    <row r="35" spans="1:10" s="35" customFormat="1" ht="19.5" customHeight="1">
      <c r="A35" s="25">
        <v>31</v>
      </c>
      <c r="B35" s="26" t="s">
        <v>41</v>
      </c>
      <c r="C35" s="95">
        <f>IF(EnrlST!V36=0,"",ROUND(EnrlST!V36/EnrlST!U36*100,0))</f>
        <v>95</v>
      </c>
      <c r="D35" s="95">
        <f>IF(EnrlST!AG36=0,"",ROUND(EnrlST!AH36/EnrlST!AG36*100,0))</f>
        <v>87</v>
      </c>
      <c r="E35" s="95">
        <f>IF(EnrlST!AJ36=0,"",ROUND(EnrlST!AK36/EnrlST!AJ36*100,0))</f>
        <v>92</v>
      </c>
      <c r="F35" s="95">
        <f>IF(EnrlST!AS36=0,"",ROUND(EnrlST!AT36/EnrlST!AS36*100,0))</f>
        <v>74</v>
      </c>
      <c r="G35" s="95">
        <f>IF(EnrlST!AV36=0,"",ROUND(EnrlST!AW36/EnrlST!AV36*100,0))</f>
        <v>89</v>
      </c>
      <c r="H35" s="95">
        <f>IF(EnrlST!BE36=0,"",ROUND(EnrlST!BF36/EnrlST!BE36*100,0))</f>
        <v>62</v>
      </c>
      <c r="I35" s="95">
        <f>IF((EnrlST!AT36+EnrlST!BF36)=0,"",ROUND((EnrlST!AT36+EnrlST!BF36)/(EnrlST!BE36+EnrlST!AS36)*100,0))</f>
        <v>70</v>
      </c>
      <c r="J35" s="95">
        <f>IF(EnrlST!BH36=0,"",ROUND(EnrlST!BI36/EnrlST!BH36*100,0))</f>
        <v>87</v>
      </c>
    </row>
    <row r="36" spans="1:10" s="35" customFormat="1" ht="19.5" customHeight="1">
      <c r="A36" s="25">
        <v>32</v>
      </c>
      <c r="B36" s="26" t="s">
        <v>42</v>
      </c>
      <c r="C36" s="95">
        <f>IF(EnrlST!V37=0,"",ROUND(EnrlST!V37/EnrlST!U37*100,0))</f>
        <v>88</v>
      </c>
      <c r="D36" s="95">
        <f>IF(EnrlST!AG37=0,"",ROUND(EnrlST!AH37/EnrlST!AG37*100,0))</f>
        <v>92</v>
      </c>
      <c r="E36" s="95">
        <f>IF(EnrlST!AJ37=0,"",ROUND(EnrlST!AK37/EnrlST!AJ37*100,0))</f>
        <v>89</v>
      </c>
      <c r="F36" s="95">
        <f>IF(EnrlST!AS37=0,"",ROUND(EnrlST!AT37/EnrlST!AS37*100,0))</f>
        <v>88</v>
      </c>
      <c r="G36" s="95">
        <f>IF(EnrlST!AV37=0,"",ROUND(EnrlST!AW37/EnrlST!AV37*100,0))</f>
        <v>89</v>
      </c>
      <c r="H36" s="95">
        <f>IF(EnrlST!BE37=0,"",ROUND(EnrlST!BF37/EnrlST!BE37*100,0))</f>
        <v>80</v>
      </c>
      <c r="I36" s="95">
        <f>IF((EnrlST!AT37+EnrlST!BF37)=0,"",ROUND((EnrlST!AT37+EnrlST!BF37)/(EnrlST!BE37+EnrlST!AS37)*100,0))</f>
        <v>84</v>
      </c>
      <c r="J36" s="95">
        <f>IF(EnrlST!BH37=0,"",ROUND(EnrlST!BI37/EnrlST!BH37*100,0))</f>
        <v>88</v>
      </c>
    </row>
    <row r="37" spans="1:10" s="35" customFormat="1" ht="19.5" customHeight="1">
      <c r="A37" s="25">
        <v>33</v>
      </c>
      <c r="B37" s="26" t="s">
        <v>43</v>
      </c>
      <c r="C37" s="95">
        <f>IF(EnrlST!V38=0,"",ROUND(EnrlST!V38/EnrlST!U38*100,0))</f>
        <v>81</v>
      </c>
      <c r="D37" s="95">
        <f>IF(EnrlST!AG38=0,"",ROUND(EnrlST!AH38/EnrlST!AG38*100,0))</f>
        <v>77</v>
      </c>
      <c r="E37" s="95">
        <f>IF(EnrlST!AJ38=0,"",ROUND(EnrlST!AK38/EnrlST!AJ38*100,0))</f>
        <v>80</v>
      </c>
      <c r="F37" s="95">
        <f>IF(EnrlST!AS38=0,"",ROUND(EnrlST!AT38/EnrlST!AS38*100,0))</f>
        <v>88</v>
      </c>
      <c r="G37" s="95">
        <f>IF(EnrlST!AV38=0,"",ROUND(EnrlST!AW38/EnrlST!AV38*100,0))</f>
        <v>81</v>
      </c>
      <c r="H37" s="95">
        <f>IF(EnrlST!BE38=0,"",ROUND(EnrlST!BF38/EnrlST!BE38*100,0))</f>
        <v>97</v>
      </c>
      <c r="I37" s="95">
        <f>IF((EnrlST!AT38+EnrlST!BF38)=0,"",ROUND((EnrlST!AT38+EnrlST!BF38)/(EnrlST!BE38+EnrlST!AS38)*100,0))</f>
        <v>92</v>
      </c>
      <c r="J37" s="95">
        <f>IF(EnrlST!BH38=0,"",ROUND(EnrlST!BI38/EnrlST!BH38*100,0))</f>
        <v>83</v>
      </c>
    </row>
    <row r="38" spans="1:10" s="35" customFormat="1" ht="19.5" customHeight="1">
      <c r="A38" s="25">
        <v>34</v>
      </c>
      <c r="B38" s="26" t="s">
        <v>44</v>
      </c>
      <c r="C38" s="95">
        <f>IF(EnrlST!V39=0,"",ROUND(EnrlST!V39/EnrlST!U39*100,0))</f>
        <v>94</v>
      </c>
      <c r="D38" s="95">
        <f>IF(EnrlST!AG39=0,"",ROUND(EnrlST!AH39/EnrlST!AG39*100,0))</f>
        <v>118</v>
      </c>
      <c r="E38" s="95">
        <f>IF(EnrlST!AJ39=0,"",ROUND(EnrlST!AK39/EnrlST!AJ39*100,0))</f>
        <v>103</v>
      </c>
      <c r="F38" s="95">
        <f>IF(EnrlST!AS39=0,"",ROUND(EnrlST!AT39/EnrlST!AS39*100,0))</f>
        <v>88</v>
      </c>
      <c r="G38" s="95">
        <f>IF(EnrlST!AV39=0,"",ROUND(EnrlST!AW39/EnrlST!AV39*100,0))</f>
        <v>100</v>
      </c>
      <c r="H38" s="95">
        <f>IF(EnrlST!BE39=0,"",ROUND(EnrlST!BF39/EnrlST!BE39*100,0))</f>
        <v>106</v>
      </c>
      <c r="I38" s="95">
        <f>IF((EnrlST!AT39+EnrlST!BF39)=0,"",ROUND((EnrlST!AT39+EnrlST!BF39)/(EnrlST!BE39+EnrlST!AS39)*100,0))</f>
        <v>96</v>
      </c>
      <c r="J38" s="95">
        <f>IF(EnrlST!BH39=0,"",ROUND(EnrlST!BI39/EnrlST!BH39*100,0))</f>
        <v>101</v>
      </c>
    </row>
    <row r="39" spans="1:10" s="35" customFormat="1" ht="19.5" customHeight="1">
      <c r="A39" s="25">
        <v>35</v>
      </c>
      <c r="B39" s="26" t="s">
        <v>45</v>
      </c>
      <c r="C39" s="95">
        <f>IF(EnrlST!V40=0,"",ROUND(EnrlST!V40/EnrlST!U40*100,0))</f>
        <v>118</v>
      </c>
      <c r="D39" s="95">
        <f>IF(EnrlST!AG40=0,"",ROUND(EnrlST!AH40/EnrlST!AG40*100,0))</f>
        <v>96</v>
      </c>
      <c r="E39" s="95">
        <f>IF(EnrlST!AJ40=0,"",ROUND(EnrlST!AK40/EnrlST!AJ40*100,0))</f>
        <v>109</v>
      </c>
      <c r="F39" s="95">
        <f>IF(EnrlST!AS40=0,"",ROUND(EnrlST!AT40/EnrlST!AS40*100,0))</f>
        <v>138</v>
      </c>
      <c r="G39" s="95">
        <f>IF(EnrlST!AV40=0,"",ROUND(EnrlST!AW40/EnrlST!AV40*100,0))</f>
        <v>113</v>
      </c>
      <c r="H39" s="95">
        <f>IF(EnrlST!BE40=0,"",ROUND(EnrlST!BF40/EnrlST!BE40*100,0))</f>
        <v>113</v>
      </c>
      <c r="I39" s="95">
        <f>IF((EnrlST!AT40+EnrlST!BF40)=0,"",ROUND((EnrlST!AT40+EnrlST!BF40)/(EnrlST!BE40+EnrlST!AS40)*100,0))</f>
        <v>134</v>
      </c>
      <c r="J39" s="95">
        <f>IF(EnrlST!BH40=0,"",ROUND(EnrlST!BI40/EnrlST!BH40*100,0))</f>
        <v>113</v>
      </c>
    </row>
    <row r="40" spans="1:10" s="87" customFormat="1" ht="19.5" customHeight="1">
      <c r="A40" s="286" t="s">
        <v>46</v>
      </c>
      <c r="B40" s="286"/>
      <c r="C40" s="97">
        <f>IF(EnrlST!V41=0,"",ROUND(EnrlST!V41/EnrlST!U41*100,0))</f>
        <v>94</v>
      </c>
      <c r="D40" s="97">
        <f>IF(EnrlST!AG41=0,"",ROUND(EnrlST!AH41/EnrlST!AG41*100,0))</f>
        <v>93</v>
      </c>
      <c r="E40" s="97">
        <f>IF(EnrlST!AJ41=0,"",ROUND(EnrlST!AK41/EnrlST!AJ41*100,0))</f>
        <v>94</v>
      </c>
      <c r="F40" s="97">
        <f>IF(EnrlST!AS41=0,"",ROUND(EnrlST!AT41/EnrlST!AS41*100,0))</f>
        <v>84</v>
      </c>
      <c r="G40" s="97">
        <f>IF(EnrlST!AV41=0,"",ROUND(EnrlST!AW41/EnrlST!AV41*100,0))</f>
        <v>93</v>
      </c>
      <c r="H40" s="97">
        <f>IF(EnrlST!BE41=0,"",ROUND(EnrlST!BF41/EnrlST!BE41*100,0))</f>
        <v>76</v>
      </c>
      <c r="I40" s="97">
        <f>IF((EnrlST!AT41+EnrlST!BF41)=0,"",ROUND((EnrlST!AT41+EnrlST!BF41)/(EnrlST!BE41+EnrlST!AS41)*100,0))</f>
        <v>81</v>
      </c>
      <c r="J40" s="97">
        <f>IF(EnrlST!BH41=0,"",ROUND(EnrlST!BI41/EnrlST!BH41*100,0))</f>
        <v>92</v>
      </c>
    </row>
  </sheetData>
  <mergeCells count="1">
    <mergeCell ref="A40:B40"/>
  </mergeCells>
  <printOptions horizontalCentered="1"/>
  <pageMargins left="0.2" right="0.22" top="0.44" bottom="0.59" header="0.2" footer="0.33"/>
  <pageSetup paperSize="9" scale="98" firstPageNumber="65" orientation="portrait" useFirstPageNumber="1" r:id="rId1"/>
  <headerFooter alignWithMargins="0">
    <oddFooter>&amp;LSTATISTICS OF SCHOOL EDUCATION 2011-12&amp;R&amp;P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AC60"/>
  <sheetViews>
    <sheetView view="pageBreakPreview" topLeftCell="M31" zoomScaleSheetLayoutView="100" workbookViewId="0">
      <selection activeCell="AE42" sqref="AE42"/>
    </sheetView>
  </sheetViews>
  <sheetFormatPr defaultColWidth="8.85546875" defaultRowHeight="15.75"/>
  <cols>
    <col min="1" max="1" width="6.140625" style="5" customWidth="1"/>
    <col min="2" max="2" width="19.5703125" style="5" customWidth="1"/>
    <col min="3" max="11" width="8" style="5" customWidth="1"/>
    <col min="12" max="29" width="7.7109375" style="5" customWidth="1"/>
    <col min="30" max="94" width="8.85546875" style="5"/>
    <col min="95" max="95" width="6.140625" style="5" customWidth="1"/>
    <col min="96" max="96" width="20.28515625" style="5" customWidth="1"/>
    <col min="97" max="97" width="12.42578125" style="5" customWidth="1"/>
    <col min="98" max="98" width="13" style="5" customWidth="1"/>
    <col min="99" max="99" width="12.5703125" style="5" customWidth="1"/>
    <col min="100" max="113" width="11.7109375" style="5" customWidth="1"/>
    <col min="114" max="114" width="12.28515625" style="5" customWidth="1"/>
    <col min="115" max="115" width="11.7109375" style="5" customWidth="1"/>
    <col min="116" max="116" width="12.85546875" style="5" customWidth="1"/>
    <col min="117" max="117" width="11.7109375" style="5" customWidth="1"/>
    <col min="118" max="118" width="12.7109375" style="5" customWidth="1"/>
    <col min="119" max="119" width="11.7109375" style="5" customWidth="1"/>
    <col min="120" max="120" width="13" style="5" customWidth="1"/>
    <col min="121" max="132" width="11.7109375" style="5" customWidth="1"/>
    <col min="133" max="133" width="12.5703125" style="5" customWidth="1"/>
    <col min="134" max="134" width="11.7109375" style="5" customWidth="1"/>
    <col min="135" max="135" width="13" style="5" customWidth="1"/>
    <col min="136" max="141" width="11.7109375" style="5" customWidth="1"/>
    <col min="142" max="142" width="13.7109375" style="5" customWidth="1"/>
    <col min="143" max="143" width="13.140625" style="5" customWidth="1"/>
    <col min="144" max="147" width="13" style="5" customWidth="1"/>
    <col min="148" max="154" width="11.7109375" style="5" customWidth="1"/>
    <col min="155" max="155" width="10.85546875" style="5" customWidth="1"/>
    <col min="156" max="156" width="11.7109375" style="5" customWidth="1"/>
    <col min="157" max="159" width="22.7109375" style="5" customWidth="1"/>
    <col min="160" max="162" width="20.7109375" style="5" customWidth="1"/>
    <col min="163" max="350" width="8.85546875" style="5"/>
    <col min="351" max="351" width="6.140625" style="5" customWidth="1"/>
    <col min="352" max="352" width="20.28515625" style="5" customWidth="1"/>
    <col min="353" max="353" width="12.42578125" style="5" customWidth="1"/>
    <col min="354" max="354" width="13" style="5" customWidth="1"/>
    <col min="355" max="355" width="12.5703125" style="5" customWidth="1"/>
    <col min="356" max="369" width="11.7109375" style="5" customWidth="1"/>
    <col min="370" max="370" width="12.28515625" style="5" customWidth="1"/>
    <col min="371" max="371" width="11.7109375" style="5" customWidth="1"/>
    <col min="372" max="372" width="12.85546875" style="5" customWidth="1"/>
    <col min="373" max="373" width="11.7109375" style="5" customWidth="1"/>
    <col min="374" max="374" width="12.7109375" style="5" customWidth="1"/>
    <col min="375" max="375" width="11.7109375" style="5" customWidth="1"/>
    <col min="376" max="376" width="13" style="5" customWidth="1"/>
    <col min="377" max="388" width="11.7109375" style="5" customWidth="1"/>
    <col min="389" max="389" width="12.5703125" style="5" customWidth="1"/>
    <col min="390" max="390" width="11.7109375" style="5" customWidth="1"/>
    <col min="391" max="391" width="13" style="5" customWidth="1"/>
    <col min="392" max="397" width="11.7109375" style="5" customWidth="1"/>
    <col min="398" max="398" width="13.7109375" style="5" customWidth="1"/>
    <col min="399" max="399" width="13.140625" style="5" customWidth="1"/>
    <col min="400" max="403" width="13" style="5" customWidth="1"/>
    <col min="404" max="410" width="11.7109375" style="5" customWidth="1"/>
    <col min="411" max="411" width="10.85546875" style="5" customWidth="1"/>
    <col min="412" max="412" width="11.7109375" style="5" customWidth="1"/>
    <col min="413" max="415" width="22.7109375" style="5" customWidth="1"/>
    <col min="416" max="418" width="20.7109375" style="5" customWidth="1"/>
    <col min="419" max="606" width="8.85546875" style="5"/>
    <col min="607" max="607" width="6.140625" style="5" customWidth="1"/>
    <col min="608" max="608" width="20.28515625" style="5" customWidth="1"/>
    <col min="609" max="609" width="12.42578125" style="5" customWidth="1"/>
    <col min="610" max="610" width="13" style="5" customWidth="1"/>
    <col min="611" max="611" width="12.5703125" style="5" customWidth="1"/>
    <col min="612" max="625" width="11.7109375" style="5" customWidth="1"/>
    <col min="626" max="626" width="12.28515625" style="5" customWidth="1"/>
    <col min="627" max="627" width="11.7109375" style="5" customWidth="1"/>
    <col min="628" max="628" width="12.85546875" style="5" customWidth="1"/>
    <col min="629" max="629" width="11.7109375" style="5" customWidth="1"/>
    <col min="630" max="630" width="12.7109375" style="5" customWidth="1"/>
    <col min="631" max="631" width="11.7109375" style="5" customWidth="1"/>
    <col min="632" max="632" width="13" style="5" customWidth="1"/>
    <col min="633" max="644" width="11.7109375" style="5" customWidth="1"/>
    <col min="645" max="645" width="12.5703125" style="5" customWidth="1"/>
    <col min="646" max="646" width="11.7109375" style="5" customWidth="1"/>
    <col min="647" max="647" width="13" style="5" customWidth="1"/>
    <col min="648" max="653" width="11.7109375" style="5" customWidth="1"/>
    <col min="654" max="654" width="13.7109375" style="5" customWidth="1"/>
    <col min="655" max="655" width="13.140625" style="5" customWidth="1"/>
    <col min="656" max="659" width="13" style="5" customWidth="1"/>
    <col min="660" max="666" width="11.7109375" style="5" customWidth="1"/>
    <col min="667" max="667" width="10.85546875" style="5" customWidth="1"/>
    <col min="668" max="668" width="11.7109375" style="5" customWidth="1"/>
    <col min="669" max="671" width="22.7109375" style="5" customWidth="1"/>
    <col min="672" max="674" width="20.7109375" style="5" customWidth="1"/>
    <col min="675" max="862" width="8.85546875" style="5"/>
    <col min="863" max="863" width="6.140625" style="5" customWidth="1"/>
    <col min="864" max="864" width="20.28515625" style="5" customWidth="1"/>
    <col min="865" max="865" width="12.42578125" style="5" customWidth="1"/>
    <col min="866" max="866" width="13" style="5" customWidth="1"/>
    <col min="867" max="867" width="12.5703125" style="5" customWidth="1"/>
    <col min="868" max="881" width="11.7109375" style="5" customWidth="1"/>
    <col min="882" max="882" width="12.28515625" style="5" customWidth="1"/>
    <col min="883" max="883" width="11.7109375" style="5" customWidth="1"/>
    <col min="884" max="884" width="12.85546875" style="5" customWidth="1"/>
    <col min="885" max="885" width="11.7109375" style="5" customWidth="1"/>
    <col min="886" max="886" width="12.7109375" style="5" customWidth="1"/>
    <col min="887" max="887" width="11.7109375" style="5" customWidth="1"/>
    <col min="888" max="888" width="13" style="5" customWidth="1"/>
    <col min="889" max="900" width="11.7109375" style="5" customWidth="1"/>
    <col min="901" max="901" width="12.5703125" style="5" customWidth="1"/>
    <col min="902" max="902" width="11.7109375" style="5" customWidth="1"/>
    <col min="903" max="903" width="13" style="5" customWidth="1"/>
    <col min="904" max="909" width="11.7109375" style="5" customWidth="1"/>
    <col min="910" max="910" width="13.7109375" style="5" customWidth="1"/>
    <col min="911" max="911" width="13.140625" style="5" customWidth="1"/>
    <col min="912" max="915" width="13" style="5" customWidth="1"/>
    <col min="916" max="922" width="11.7109375" style="5" customWidth="1"/>
    <col min="923" max="923" width="10.85546875" style="5" customWidth="1"/>
    <col min="924" max="924" width="11.7109375" style="5" customWidth="1"/>
    <col min="925" max="927" width="22.7109375" style="5" customWidth="1"/>
    <col min="928" max="930" width="20.7109375" style="5" customWidth="1"/>
    <col min="931" max="1118" width="8.85546875" style="5"/>
    <col min="1119" max="1119" width="6.140625" style="5" customWidth="1"/>
    <col min="1120" max="1120" width="20.28515625" style="5" customWidth="1"/>
    <col min="1121" max="1121" width="12.42578125" style="5" customWidth="1"/>
    <col min="1122" max="1122" width="13" style="5" customWidth="1"/>
    <col min="1123" max="1123" width="12.5703125" style="5" customWidth="1"/>
    <col min="1124" max="1137" width="11.7109375" style="5" customWidth="1"/>
    <col min="1138" max="1138" width="12.28515625" style="5" customWidth="1"/>
    <col min="1139" max="1139" width="11.7109375" style="5" customWidth="1"/>
    <col min="1140" max="1140" width="12.85546875" style="5" customWidth="1"/>
    <col min="1141" max="1141" width="11.7109375" style="5" customWidth="1"/>
    <col min="1142" max="1142" width="12.7109375" style="5" customWidth="1"/>
    <col min="1143" max="1143" width="11.7109375" style="5" customWidth="1"/>
    <col min="1144" max="1144" width="13" style="5" customWidth="1"/>
    <col min="1145" max="1156" width="11.7109375" style="5" customWidth="1"/>
    <col min="1157" max="1157" width="12.5703125" style="5" customWidth="1"/>
    <col min="1158" max="1158" width="11.7109375" style="5" customWidth="1"/>
    <col min="1159" max="1159" width="13" style="5" customWidth="1"/>
    <col min="1160" max="1165" width="11.7109375" style="5" customWidth="1"/>
    <col min="1166" max="1166" width="13.7109375" style="5" customWidth="1"/>
    <col min="1167" max="1167" width="13.140625" style="5" customWidth="1"/>
    <col min="1168" max="1171" width="13" style="5" customWidth="1"/>
    <col min="1172" max="1178" width="11.7109375" style="5" customWidth="1"/>
    <col min="1179" max="1179" width="10.85546875" style="5" customWidth="1"/>
    <col min="1180" max="1180" width="11.7109375" style="5" customWidth="1"/>
    <col min="1181" max="1183" width="22.7109375" style="5" customWidth="1"/>
    <col min="1184" max="1186" width="20.7109375" style="5" customWidth="1"/>
    <col min="1187" max="1374" width="8.85546875" style="5"/>
    <col min="1375" max="1375" width="6.140625" style="5" customWidth="1"/>
    <col min="1376" max="1376" width="20.28515625" style="5" customWidth="1"/>
    <col min="1377" max="1377" width="12.42578125" style="5" customWidth="1"/>
    <col min="1378" max="1378" width="13" style="5" customWidth="1"/>
    <col min="1379" max="1379" width="12.5703125" style="5" customWidth="1"/>
    <col min="1380" max="1393" width="11.7109375" style="5" customWidth="1"/>
    <col min="1394" max="1394" width="12.28515625" style="5" customWidth="1"/>
    <col min="1395" max="1395" width="11.7109375" style="5" customWidth="1"/>
    <col min="1396" max="1396" width="12.85546875" style="5" customWidth="1"/>
    <col min="1397" max="1397" width="11.7109375" style="5" customWidth="1"/>
    <col min="1398" max="1398" width="12.7109375" style="5" customWidth="1"/>
    <col min="1399" max="1399" width="11.7109375" style="5" customWidth="1"/>
    <col min="1400" max="1400" width="13" style="5" customWidth="1"/>
    <col min="1401" max="1412" width="11.7109375" style="5" customWidth="1"/>
    <col min="1413" max="1413" width="12.5703125" style="5" customWidth="1"/>
    <col min="1414" max="1414" width="11.7109375" style="5" customWidth="1"/>
    <col min="1415" max="1415" width="13" style="5" customWidth="1"/>
    <col min="1416" max="1421" width="11.7109375" style="5" customWidth="1"/>
    <col min="1422" max="1422" width="13.7109375" style="5" customWidth="1"/>
    <col min="1423" max="1423" width="13.140625" style="5" customWidth="1"/>
    <col min="1424" max="1427" width="13" style="5" customWidth="1"/>
    <col min="1428" max="1434" width="11.7109375" style="5" customWidth="1"/>
    <col min="1435" max="1435" width="10.85546875" style="5" customWidth="1"/>
    <col min="1436" max="1436" width="11.7109375" style="5" customWidth="1"/>
    <col min="1437" max="1439" width="22.7109375" style="5" customWidth="1"/>
    <col min="1440" max="1442" width="20.7109375" style="5" customWidth="1"/>
    <col min="1443" max="1630" width="8.85546875" style="5"/>
    <col min="1631" max="1631" width="6.140625" style="5" customWidth="1"/>
    <col min="1632" max="1632" width="20.28515625" style="5" customWidth="1"/>
    <col min="1633" max="1633" width="12.42578125" style="5" customWidth="1"/>
    <col min="1634" max="1634" width="13" style="5" customWidth="1"/>
    <col min="1635" max="1635" width="12.5703125" style="5" customWidth="1"/>
    <col min="1636" max="1649" width="11.7109375" style="5" customWidth="1"/>
    <col min="1650" max="1650" width="12.28515625" style="5" customWidth="1"/>
    <col min="1651" max="1651" width="11.7109375" style="5" customWidth="1"/>
    <col min="1652" max="1652" width="12.85546875" style="5" customWidth="1"/>
    <col min="1653" max="1653" width="11.7109375" style="5" customWidth="1"/>
    <col min="1654" max="1654" width="12.7109375" style="5" customWidth="1"/>
    <col min="1655" max="1655" width="11.7109375" style="5" customWidth="1"/>
    <col min="1656" max="1656" width="13" style="5" customWidth="1"/>
    <col min="1657" max="1668" width="11.7109375" style="5" customWidth="1"/>
    <col min="1669" max="1669" width="12.5703125" style="5" customWidth="1"/>
    <col min="1670" max="1670" width="11.7109375" style="5" customWidth="1"/>
    <col min="1671" max="1671" width="13" style="5" customWidth="1"/>
    <col min="1672" max="1677" width="11.7109375" style="5" customWidth="1"/>
    <col min="1678" max="1678" width="13.7109375" style="5" customWidth="1"/>
    <col min="1679" max="1679" width="13.140625" style="5" customWidth="1"/>
    <col min="1680" max="1683" width="13" style="5" customWidth="1"/>
    <col min="1684" max="1690" width="11.7109375" style="5" customWidth="1"/>
    <col min="1691" max="1691" width="10.85546875" style="5" customWidth="1"/>
    <col min="1692" max="1692" width="11.7109375" style="5" customWidth="1"/>
    <col min="1693" max="1695" width="22.7109375" style="5" customWidth="1"/>
    <col min="1696" max="1698" width="20.7109375" style="5" customWidth="1"/>
    <col min="1699" max="1886" width="8.85546875" style="5"/>
    <col min="1887" max="1887" width="6.140625" style="5" customWidth="1"/>
    <col min="1888" max="1888" width="20.28515625" style="5" customWidth="1"/>
    <col min="1889" max="1889" width="12.42578125" style="5" customWidth="1"/>
    <col min="1890" max="1890" width="13" style="5" customWidth="1"/>
    <col min="1891" max="1891" width="12.5703125" style="5" customWidth="1"/>
    <col min="1892" max="1905" width="11.7109375" style="5" customWidth="1"/>
    <col min="1906" max="1906" width="12.28515625" style="5" customWidth="1"/>
    <col min="1907" max="1907" width="11.7109375" style="5" customWidth="1"/>
    <col min="1908" max="1908" width="12.85546875" style="5" customWidth="1"/>
    <col min="1909" max="1909" width="11.7109375" style="5" customWidth="1"/>
    <col min="1910" max="1910" width="12.7109375" style="5" customWidth="1"/>
    <col min="1911" max="1911" width="11.7109375" style="5" customWidth="1"/>
    <col min="1912" max="1912" width="13" style="5" customWidth="1"/>
    <col min="1913" max="1924" width="11.7109375" style="5" customWidth="1"/>
    <col min="1925" max="1925" width="12.5703125" style="5" customWidth="1"/>
    <col min="1926" max="1926" width="11.7109375" style="5" customWidth="1"/>
    <col min="1927" max="1927" width="13" style="5" customWidth="1"/>
    <col min="1928" max="1933" width="11.7109375" style="5" customWidth="1"/>
    <col min="1934" max="1934" width="13.7109375" style="5" customWidth="1"/>
    <col min="1935" max="1935" width="13.140625" style="5" customWidth="1"/>
    <col min="1936" max="1939" width="13" style="5" customWidth="1"/>
    <col min="1940" max="1946" width="11.7109375" style="5" customWidth="1"/>
    <col min="1947" max="1947" width="10.85546875" style="5" customWidth="1"/>
    <col min="1948" max="1948" width="11.7109375" style="5" customWidth="1"/>
    <col min="1949" max="1951" width="22.7109375" style="5" customWidth="1"/>
    <col min="1952" max="1954" width="20.7109375" style="5" customWidth="1"/>
    <col min="1955" max="2142" width="8.85546875" style="5"/>
    <col min="2143" max="2143" width="6.140625" style="5" customWidth="1"/>
    <col min="2144" max="2144" width="20.28515625" style="5" customWidth="1"/>
    <col min="2145" max="2145" width="12.42578125" style="5" customWidth="1"/>
    <col min="2146" max="2146" width="13" style="5" customWidth="1"/>
    <col min="2147" max="2147" width="12.5703125" style="5" customWidth="1"/>
    <col min="2148" max="2161" width="11.7109375" style="5" customWidth="1"/>
    <col min="2162" max="2162" width="12.28515625" style="5" customWidth="1"/>
    <col min="2163" max="2163" width="11.7109375" style="5" customWidth="1"/>
    <col min="2164" max="2164" width="12.85546875" style="5" customWidth="1"/>
    <col min="2165" max="2165" width="11.7109375" style="5" customWidth="1"/>
    <col min="2166" max="2166" width="12.7109375" style="5" customWidth="1"/>
    <col min="2167" max="2167" width="11.7109375" style="5" customWidth="1"/>
    <col min="2168" max="2168" width="13" style="5" customWidth="1"/>
    <col min="2169" max="2180" width="11.7109375" style="5" customWidth="1"/>
    <col min="2181" max="2181" width="12.5703125" style="5" customWidth="1"/>
    <col min="2182" max="2182" width="11.7109375" style="5" customWidth="1"/>
    <col min="2183" max="2183" width="13" style="5" customWidth="1"/>
    <col min="2184" max="2189" width="11.7109375" style="5" customWidth="1"/>
    <col min="2190" max="2190" width="13.7109375" style="5" customWidth="1"/>
    <col min="2191" max="2191" width="13.140625" style="5" customWidth="1"/>
    <col min="2192" max="2195" width="13" style="5" customWidth="1"/>
    <col min="2196" max="2202" width="11.7109375" style="5" customWidth="1"/>
    <col min="2203" max="2203" width="10.85546875" style="5" customWidth="1"/>
    <col min="2204" max="2204" width="11.7109375" style="5" customWidth="1"/>
    <col min="2205" max="2207" width="22.7109375" style="5" customWidth="1"/>
    <col min="2208" max="2210" width="20.7109375" style="5" customWidth="1"/>
    <col min="2211" max="2398" width="8.85546875" style="5"/>
    <col min="2399" max="2399" width="6.140625" style="5" customWidth="1"/>
    <col min="2400" max="2400" width="20.28515625" style="5" customWidth="1"/>
    <col min="2401" max="2401" width="12.42578125" style="5" customWidth="1"/>
    <col min="2402" max="2402" width="13" style="5" customWidth="1"/>
    <col min="2403" max="2403" width="12.5703125" style="5" customWidth="1"/>
    <col min="2404" max="2417" width="11.7109375" style="5" customWidth="1"/>
    <col min="2418" max="2418" width="12.28515625" style="5" customWidth="1"/>
    <col min="2419" max="2419" width="11.7109375" style="5" customWidth="1"/>
    <col min="2420" max="2420" width="12.85546875" style="5" customWidth="1"/>
    <col min="2421" max="2421" width="11.7109375" style="5" customWidth="1"/>
    <col min="2422" max="2422" width="12.7109375" style="5" customWidth="1"/>
    <col min="2423" max="2423" width="11.7109375" style="5" customWidth="1"/>
    <col min="2424" max="2424" width="13" style="5" customWidth="1"/>
    <col min="2425" max="2436" width="11.7109375" style="5" customWidth="1"/>
    <col min="2437" max="2437" width="12.5703125" style="5" customWidth="1"/>
    <col min="2438" max="2438" width="11.7109375" style="5" customWidth="1"/>
    <col min="2439" max="2439" width="13" style="5" customWidth="1"/>
    <col min="2440" max="2445" width="11.7109375" style="5" customWidth="1"/>
    <col min="2446" max="2446" width="13.7109375" style="5" customWidth="1"/>
    <col min="2447" max="2447" width="13.140625" style="5" customWidth="1"/>
    <col min="2448" max="2451" width="13" style="5" customWidth="1"/>
    <col min="2452" max="2458" width="11.7109375" style="5" customWidth="1"/>
    <col min="2459" max="2459" width="10.85546875" style="5" customWidth="1"/>
    <col min="2460" max="2460" width="11.7109375" style="5" customWidth="1"/>
    <col min="2461" max="2463" width="22.7109375" style="5" customWidth="1"/>
    <col min="2464" max="2466" width="20.7109375" style="5" customWidth="1"/>
    <col min="2467" max="2654" width="8.85546875" style="5"/>
    <col min="2655" max="2655" width="6.140625" style="5" customWidth="1"/>
    <col min="2656" max="2656" width="20.28515625" style="5" customWidth="1"/>
    <col min="2657" max="2657" width="12.42578125" style="5" customWidth="1"/>
    <col min="2658" max="2658" width="13" style="5" customWidth="1"/>
    <col min="2659" max="2659" width="12.5703125" style="5" customWidth="1"/>
    <col min="2660" max="2673" width="11.7109375" style="5" customWidth="1"/>
    <col min="2674" max="2674" width="12.28515625" style="5" customWidth="1"/>
    <col min="2675" max="2675" width="11.7109375" style="5" customWidth="1"/>
    <col min="2676" max="2676" width="12.85546875" style="5" customWidth="1"/>
    <col min="2677" max="2677" width="11.7109375" style="5" customWidth="1"/>
    <col min="2678" max="2678" width="12.7109375" style="5" customWidth="1"/>
    <col min="2679" max="2679" width="11.7109375" style="5" customWidth="1"/>
    <col min="2680" max="2680" width="13" style="5" customWidth="1"/>
    <col min="2681" max="2692" width="11.7109375" style="5" customWidth="1"/>
    <col min="2693" max="2693" width="12.5703125" style="5" customWidth="1"/>
    <col min="2694" max="2694" width="11.7109375" style="5" customWidth="1"/>
    <col min="2695" max="2695" width="13" style="5" customWidth="1"/>
    <col min="2696" max="2701" width="11.7109375" style="5" customWidth="1"/>
    <col min="2702" max="2702" width="13.7109375" style="5" customWidth="1"/>
    <col min="2703" max="2703" width="13.140625" style="5" customWidth="1"/>
    <col min="2704" max="2707" width="13" style="5" customWidth="1"/>
    <col min="2708" max="2714" width="11.7109375" style="5" customWidth="1"/>
    <col min="2715" max="2715" width="10.85546875" style="5" customWidth="1"/>
    <col min="2716" max="2716" width="11.7109375" style="5" customWidth="1"/>
    <col min="2717" max="2719" width="22.7109375" style="5" customWidth="1"/>
    <col min="2720" max="2722" width="20.7109375" style="5" customWidth="1"/>
    <col min="2723" max="2910" width="8.85546875" style="5"/>
    <col min="2911" max="2911" width="6.140625" style="5" customWidth="1"/>
    <col min="2912" max="2912" width="20.28515625" style="5" customWidth="1"/>
    <col min="2913" max="2913" width="12.42578125" style="5" customWidth="1"/>
    <col min="2914" max="2914" width="13" style="5" customWidth="1"/>
    <col min="2915" max="2915" width="12.5703125" style="5" customWidth="1"/>
    <col min="2916" max="2929" width="11.7109375" style="5" customWidth="1"/>
    <col min="2930" max="2930" width="12.28515625" style="5" customWidth="1"/>
    <col min="2931" max="2931" width="11.7109375" style="5" customWidth="1"/>
    <col min="2932" max="2932" width="12.85546875" style="5" customWidth="1"/>
    <col min="2933" max="2933" width="11.7109375" style="5" customWidth="1"/>
    <col min="2934" max="2934" width="12.7109375" style="5" customWidth="1"/>
    <col min="2935" max="2935" width="11.7109375" style="5" customWidth="1"/>
    <col min="2936" max="2936" width="13" style="5" customWidth="1"/>
    <col min="2937" max="2948" width="11.7109375" style="5" customWidth="1"/>
    <col min="2949" max="2949" width="12.5703125" style="5" customWidth="1"/>
    <col min="2950" max="2950" width="11.7109375" style="5" customWidth="1"/>
    <col min="2951" max="2951" width="13" style="5" customWidth="1"/>
    <col min="2952" max="2957" width="11.7109375" style="5" customWidth="1"/>
    <col min="2958" max="2958" width="13.7109375" style="5" customWidth="1"/>
    <col min="2959" max="2959" width="13.140625" style="5" customWidth="1"/>
    <col min="2960" max="2963" width="13" style="5" customWidth="1"/>
    <col min="2964" max="2970" width="11.7109375" style="5" customWidth="1"/>
    <col min="2971" max="2971" width="10.85546875" style="5" customWidth="1"/>
    <col min="2972" max="2972" width="11.7109375" style="5" customWidth="1"/>
    <col min="2973" max="2975" width="22.7109375" style="5" customWidth="1"/>
    <col min="2976" max="2978" width="20.7109375" style="5" customWidth="1"/>
    <col min="2979" max="3166" width="8.85546875" style="5"/>
    <col min="3167" max="3167" width="6.140625" style="5" customWidth="1"/>
    <col min="3168" max="3168" width="20.28515625" style="5" customWidth="1"/>
    <col min="3169" max="3169" width="12.42578125" style="5" customWidth="1"/>
    <col min="3170" max="3170" width="13" style="5" customWidth="1"/>
    <col min="3171" max="3171" width="12.5703125" style="5" customWidth="1"/>
    <col min="3172" max="3185" width="11.7109375" style="5" customWidth="1"/>
    <col min="3186" max="3186" width="12.28515625" style="5" customWidth="1"/>
    <col min="3187" max="3187" width="11.7109375" style="5" customWidth="1"/>
    <col min="3188" max="3188" width="12.85546875" style="5" customWidth="1"/>
    <col min="3189" max="3189" width="11.7109375" style="5" customWidth="1"/>
    <col min="3190" max="3190" width="12.7109375" style="5" customWidth="1"/>
    <col min="3191" max="3191" width="11.7109375" style="5" customWidth="1"/>
    <col min="3192" max="3192" width="13" style="5" customWidth="1"/>
    <col min="3193" max="3204" width="11.7109375" style="5" customWidth="1"/>
    <col min="3205" max="3205" width="12.5703125" style="5" customWidth="1"/>
    <col min="3206" max="3206" width="11.7109375" style="5" customWidth="1"/>
    <col min="3207" max="3207" width="13" style="5" customWidth="1"/>
    <col min="3208" max="3213" width="11.7109375" style="5" customWidth="1"/>
    <col min="3214" max="3214" width="13.7109375" style="5" customWidth="1"/>
    <col min="3215" max="3215" width="13.140625" style="5" customWidth="1"/>
    <col min="3216" max="3219" width="13" style="5" customWidth="1"/>
    <col min="3220" max="3226" width="11.7109375" style="5" customWidth="1"/>
    <col min="3227" max="3227" width="10.85546875" style="5" customWidth="1"/>
    <col min="3228" max="3228" width="11.7109375" style="5" customWidth="1"/>
    <col min="3229" max="3231" width="22.7109375" style="5" customWidth="1"/>
    <col min="3232" max="3234" width="20.7109375" style="5" customWidth="1"/>
    <col min="3235" max="3422" width="8.85546875" style="5"/>
    <col min="3423" max="3423" width="6.140625" style="5" customWidth="1"/>
    <col min="3424" max="3424" width="20.28515625" style="5" customWidth="1"/>
    <col min="3425" max="3425" width="12.42578125" style="5" customWidth="1"/>
    <col min="3426" max="3426" width="13" style="5" customWidth="1"/>
    <col min="3427" max="3427" width="12.5703125" style="5" customWidth="1"/>
    <col min="3428" max="3441" width="11.7109375" style="5" customWidth="1"/>
    <col min="3442" max="3442" width="12.28515625" style="5" customWidth="1"/>
    <col min="3443" max="3443" width="11.7109375" style="5" customWidth="1"/>
    <col min="3444" max="3444" width="12.85546875" style="5" customWidth="1"/>
    <col min="3445" max="3445" width="11.7109375" style="5" customWidth="1"/>
    <col min="3446" max="3446" width="12.7109375" style="5" customWidth="1"/>
    <col min="3447" max="3447" width="11.7109375" style="5" customWidth="1"/>
    <col min="3448" max="3448" width="13" style="5" customWidth="1"/>
    <col min="3449" max="3460" width="11.7109375" style="5" customWidth="1"/>
    <col min="3461" max="3461" width="12.5703125" style="5" customWidth="1"/>
    <col min="3462" max="3462" width="11.7109375" style="5" customWidth="1"/>
    <col min="3463" max="3463" width="13" style="5" customWidth="1"/>
    <col min="3464" max="3469" width="11.7109375" style="5" customWidth="1"/>
    <col min="3470" max="3470" width="13.7109375" style="5" customWidth="1"/>
    <col min="3471" max="3471" width="13.140625" style="5" customWidth="1"/>
    <col min="3472" max="3475" width="13" style="5" customWidth="1"/>
    <col min="3476" max="3482" width="11.7109375" style="5" customWidth="1"/>
    <col min="3483" max="3483" width="10.85546875" style="5" customWidth="1"/>
    <col min="3484" max="3484" width="11.7109375" style="5" customWidth="1"/>
    <col min="3485" max="3487" width="22.7109375" style="5" customWidth="1"/>
    <col min="3488" max="3490" width="20.7109375" style="5" customWidth="1"/>
    <col min="3491" max="3678" width="8.85546875" style="5"/>
    <col min="3679" max="3679" width="6.140625" style="5" customWidth="1"/>
    <col min="3680" max="3680" width="20.28515625" style="5" customWidth="1"/>
    <col min="3681" max="3681" width="12.42578125" style="5" customWidth="1"/>
    <col min="3682" max="3682" width="13" style="5" customWidth="1"/>
    <col min="3683" max="3683" width="12.5703125" style="5" customWidth="1"/>
    <col min="3684" max="3697" width="11.7109375" style="5" customWidth="1"/>
    <col min="3698" max="3698" width="12.28515625" style="5" customWidth="1"/>
    <col min="3699" max="3699" width="11.7109375" style="5" customWidth="1"/>
    <col min="3700" max="3700" width="12.85546875" style="5" customWidth="1"/>
    <col min="3701" max="3701" width="11.7109375" style="5" customWidth="1"/>
    <col min="3702" max="3702" width="12.7109375" style="5" customWidth="1"/>
    <col min="3703" max="3703" width="11.7109375" style="5" customWidth="1"/>
    <col min="3704" max="3704" width="13" style="5" customWidth="1"/>
    <col min="3705" max="3716" width="11.7109375" style="5" customWidth="1"/>
    <col min="3717" max="3717" width="12.5703125" style="5" customWidth="1"/>
    <col min="3718" max="3718" width="11.7109375" style="5" customWidth="1"/>
    <col min="3719" max="3719" width="13" style="5" customWidth="1"/>
    <col min="3720" max="3725" width="11.7109375" style="5" customWidth="1"/>
    <col min="3726" max="3726" width="13.7109375" style="5" customWidth="1"/>
    <col min="3727" max="3727" width="13.140625" style="5" customWidth="1"/>
    <col min="3728" max="3731" width="13" style="5" customWidth="1"/>
    <col min="3732" max="3738" width="11.7109375" style="5" customWidth="1"/>
    <col min="3739" max="3739" width="10.85546875" style="5" customWidth="1"/>
    <col min="3740" max="3740" width="11.7109375" style="5" customWidth="1"/>
    <col min="3741" max="3743" width="22.7109375" style="5" customWidth="1"/>
    <col min="3744" max="3746" width="20.7109375" style="5" customWidth="1"/>
    <col min="3747" max="3934" width="8.85546875" style="5"/>
    <col min="3935" max="3935" width="6.140625" style="5" customWidth="1"/>
    <col min="3936" max="3936" width="20.28515625" style="5" customWidth="1"/>
    <col min="3937" max="3937" width="12.42578125" style="5" customWidth="1"/>
    <col min="3938" max="3938" width="13" style="5" customWidth="1"/>
    <col min="3939" max="3939" width="12.5703125" style="5" customWidth="1"/>
    <col min="3940" max="3953" width="11.7109375" style="5" customWidth="1"/>
    <col min="3954" max="3954" width="12.28515625" style="5" customWidth="1"/>
    <col min="3955" max="3955" width="11.7109375" style="5" customWidth="1"/>
    <col min="3956" max="3956" width="12.85546875" style="5" customWidth="1"/>
    <col min="3957" max="3957" width="11.7109375" style="5" customWidth="1"/>
    <col min="3958" max="3958" width="12.7109375" style="5" customWidth="1"/>
    <col min="3959" max="3959" width="11.7109375" style="5" customWidth="1"/>
    <col min="3960" max="3960" width="13" style="5" customWidth="1"/>
    <col min="3961" max="3972" width="11.7109375" style="5" customWidth="1"/>
    <col min="3973" max="3973" width="12.5703125" style="5" customWidth="1"/>
    <col min="3974" max="3974" width="11.7109375" style="5" customWidth="1"/>
    <col min="3975" max="3975" width="13" style="5" customWidth="1"/>
    <col min="3976" max="3981" width="11.7109375" style="5" customWidth="1"/>
    <col min="3982" max="3982" width="13.7109375" style="5" customWidth="1"/>
    <col min="3983" max="3983" width="13.140625" style="5" customWidth="1"/>
    <col min="3984" max="3987" width="13" style="5" customWidth="1"/>
    <col min="3988" max="3994" width="11.7109375" style="5" customWidth="1"/>
    <col min="3995" max="3995" width="10.85546875" style="5" customWidth="1"/>
    <col min="3996" max="3996" width="11.7109375" style="5" customWidth="1"/>
    <col min="3997" max="3999" width="22.7109375" style="5" customWidth="1"/>
    <col min="4000" max="4002" width="20.7109375" style="5" customWidth="1"/>
    <col min="4003" max="4190" width="8.85546875" style="5"/>
    <col min="4191" max="4191" width="6.140625" style="5" customWidth="1"/>
    <col min="4192" max="4192" width="20.28515625" style="5" customWidth="1"/>
    <col min="4193" max="4193" width="12.42578125" style="5" customWidth="1"/>
    <col min="4194" max="4194" width="13" style="5" customWidth="1"/>
    <col min="4195" max="4195" width="12.5703125" style="5" customWidth="1"/>
    <col min="4196" max="4209" width="11.7109375" style="5" customWidth="1"/>
    <col min="4210" max="4210" width="12.28515625" style="5" customWidth="1"/>
    <col min="4211" max="4211" width="11.7109375" style="5" customWidth="1"/>
    <col min="4212" max="4212" width="12.85546875" style="5" customWidth="1"/>
    <col min="4213" max="4213" width="11.7109375" style="5" customWidth="1"/>
    <col min="4214" max="4214" width="12.7109375" style="5" customWidth="1"/>
    <col min="4215" max="4215" width="11.7109375" style="5" customWidth="1"/>
    <col min="4216" max="4216" width="13" style="5" customWidth="1"/>
    <col min="4217" max="4228" width="11.7109375" style="5" customWidth="1"/>
    <col min="4229" max="4229" width="12.5703125" style="5" customWidth="1"/>
    <col min="4230" max="4230" width="11.7109375" style="5" customWidth="1"/>
    <col min="4231" max="4231" width="13" style="5" customWidth="1"/>
    <col min="4232" max="4237" width="11.7109375" style="5" customWidth="1"/>
    <col min="4238" max="4238" width="13.7109375" style="5" customWidth="1"/>
    <col min="4239" max="4239" width="13.140625" style="5" customWidth="1"/>
    <col min="4240" max="4243" width="13" style="5" customWidth="1"/>
    <col min="4244" max="4250" width="11.7109375" style="5" customWidth="1"/>
    <col min="4251" max="4251" width="10.85546875" style="5" customWidth="1"/>
    <col min="4252" max="4252" width="11.7109375" style="5" customWidth="1"/>
    <col min="4253" max="4255" width="22.7109375" style="5" customWidth="1"/>
    <col min="4256" max="4258" width="20.7109375" style="5" customWidth="1"/>
    <col min="4259" max="4446" width="8.85546875" style="5"/>
    <col min="4447" max="4447" width="6.140625" style="5" customWidth="1"/>
    <col min="4448" max="4448" width="20.28515625" style="5" customWidth="1"/>
    <col min="4449" max="4449" width="12.42578125" style="5" customWidth="1"/>
    <col min="4450" max="4450" width="13" style="5" customWidth="1"/>
    <col min="4451" max="4451" width="12.5703125" style="5" customWidth="1"/>
    <col min="4452" max="4465" width="11.7109375" style="5" customWidth="1"/>
    <col min="4466" max="4466" width="12.28515625" style="5" customWidth="1"/>
    <col min="4467" max="4467" width="11.7109375" style="5" customWidth="1"/>
    <col min="4468" max="4468" width="12.85546875" style="5" customWidth="1"/>
    <col min="4469" max="4469" width="11.7109375" style="5" customWidth="1"/>
    <col min="4470" max="4470" width="12.7109375" style="5" customWidth="1"/>
    <col min="4471" max="4471" width="11.7109375" style="5" customWidth="1"/>
    <col min="4472" max="4472" width="13" style="5" customWidth="1"/>
    <col min="4473" max="4484" width="11.7109375" style="5" customWidth="1"/>
    <col min="4485" max="4485" width="12.5703125" style="5" customWidth="1"/>
    <col min="4486" max="4486" width="11.7109375" style="5" customWidth="1"/>
    <col min="4487" max="4487" width="13" style="5" customWidth="1"/>
    <col min="4488" max="4493" width="11.7109375" style="5" customWidth="1"/>
    <col min="4494" max="4494" width="13.7109375" style="5" customWidth="1"/>
    <col min="4495" max="4495" width="13.140625" style="5" customWidth="1"/>
    <col min="4496" max="4499" width="13" style="5" customWidth="1"/>
    <col min="4500" max="4506" width="11.7109375" style="5" customWidth="1"/>
    <col min="4507" max="4507" width="10.85546875" style="5" customWidth="1"/>
    <col min="4508" max="4508" width="11.7109375" style="5" customWidth="1"/>
    <col min="4509" max="4511" width="22.7109375" style="5" customWidth="1"/>
    <col min="4512" max="4514" width="20.7109375" style="5" customWidth="1"/>
    <col min="4515" max="4702" width="8.85546875" style="5"/>
    <col min="4703" max="4703" width="6.140625" style="5" customWidth="1"/>
    <col min="4704" max="4704" width="20.28515625" style="5" customWidth="1"/>
    <col min="4705" max="4705" width="12.42578125" style="5" customWidth="1"/>
    <col min="4706" max="4706" width="13" style="5" customWidth="1"/>
    <col min="4707" max="4707" width="12.5703125" style="5" customWidth="1"/>
    <col min="4708" max="4721" width="11.7109375" style="5" customWidth="1"/>
    <col min="4722" max="4722" width="12.28515625" style="5" customWidth="1"/>
    <col min="4723" max="4723" width="11.7109375" style="5" customWidth="1"/>
    <col min="4724" max="4724" width="12.85546875" style="5" customWidth="1"/>
    <col min="4725" max="4725" width="11.7109375" style="5" customWidth="1"/>
    <col min="4726" max="4726" width="12.7109375" style="5" customWidth="1"/>
    <col min="4727" max="4727" width="11.7109375" style="5" customWidth="1"/>
    <col min="4728" max="4728" width="13" style="5" customWidth="1"/>
    <col min="4729" max="4740" width="11.7109375" style="5" customWidth="1"/>
    <col min="4741" max="4741" width="12.5703125" style="5" customWidth="1"/>
    <col min="4742" max="4742" width="11.7109375" style="5" customWidth="1"/>
    <col min="4743" max="4743" width="13" style="5" customWidth="1"/>
    <col min="4744" max="4749" width="11.7109375" style="5" customWidth="1"/>
    <col min="4750" max="4750" width="13.7109375" style="5" customWidth="1"/>
    <col min="4751" max="4751" width="13.140625" style="5" customWidth="1"/>
    <col min="4752" max="4755" width="13" style="5" customWidth="1"/>
    <col min="4756" max="4762" width="11.7109375" style="5" customWidth="1"/>
    <col min="4763" max="4763" width="10.85546875" style="5" customWidth="1"/>
    <col min="4764" max="4764" width="11.7109375" style="5" customWidth="1"/>
    <col min="4765" max="4767" width="22.7109375" style="5" customWidth="1"/>
    <col min="4768" max="4770" width="20.7109375" style="5" customWidth="1"/>
    <col min="4771" max="4958" width="8.85546875" style="5"/>
    <col min="4959" max="4959" width="6.140625" style="5" customWidth="1"/>
    <col min="4960" max="4960" width="20.28515625" style="5" customWidth="1"/>
    <col min="4961" max="4961" width="12.42578125" style="5" customWidth="1"/>
    <col min="4962" max="4962" width="13" style="5" customWidth="1"/>
    <col min="4963" max="4963" width="12.5703125" style="5" customWidth="1"/>
    <col min="4964" max="4977" width="11.7109375" style="5" customWidth="1"/>
    <col min="4978" max="4978" width="12.28515625" style="5" customWidth="1"/>
    <col min="4979" max="4979" width="11.7109375" style="5" customWidth="1"/>
    <col min="4980" max="4980" width="12.85546875" style="5" customWidth="1"/>
    <col min="4981" max="4981" width="11.7109375" style="5" customWidth="1"/>
    <col min="4982" max="4982" width="12.7109375" style="5" customWidth="1"/>
    <col min="4983" max="4983" width="11.7109375" style="5" customWidth="1"/>
    <col min="4984" max="4984" width="13" style="5" customWidth="1"/>
    <col min="4985" max="4996" width="11.7109375" style="5" customWidth="1"/>
    <col min="4997" max="4997" width="12.5703125" style="5" customWidth="1"/>
    <col min="4998" max="4998" width="11.7109375" style="5" customWidth="1"/>
    <col min="4999" max="4999" width="13" style="5" customWidth="1"/>
    <col min="5000" max="5005" width="11.7109375" style="5" customWidth="1"/>
    <col min="5006" max="5006" width="13.7109375" style="5" customWidth="1"/>
    <col min="5007" max="5007" width="13.140625" style="5" customWidth="1"/>
    <col min="5008" max="5011" width="13" style="5" customWidth="1"/>
    <col min="5012" max="5018" width="11.7109375" style="5" customWidth="1"/>
    <col min="5019" max="5019" width="10.85546875" style="5" customWidth="1"/>
    <col min="5020" max="5020" width="11.7109375" style="5" customWidth="1"/>
    <col min="5021" max="5023" width="22.7109375" style="5" customWidth="1"/>
    <col min="5024" max="5026" width="20.7109375" style="5" customWidth="1"/>
    <col min="5027" max="5214" width="8.85546875" style="5"/>
    <col min="5215" max="5215" width="6.140625" style="5" customWidth="1"/>
    <col min="5216" max="5216" width="20.28515625" style="5" customWidth="1"/>
    <col min="5217" max="5217" width="12.42578125" style="5" customWidth="1"/>
    <col min="5218" max="5218" width="13" style="5" customWidth="1"/>
    <col min="5219" max="5219" width="12.5703125" style="5" customWidth="1"/>
    <col min="5220" max="5233" width="11.7109375" style="5" customWidth="1"/>
    <col min="5234" max="5234" width="12.28515625" style="5" customWidth="1"/>
    <col min="5235" max="5235" width="11.7109375" style="5" customWidth="1"/>
    <col min="5236" max="5236" width="12.85546875" style="5" customWidth="1"/>
    <col min="5237" max="5237" width="11.7109375" style="5" customWidth="1"/>
    <col min="5238" max="5238" width="12.7109375" style="5" customWidth="1"/>
    <col min="5239" max="5239" width="11.7109375" style="5" customWidth="1"/>
    <col min="5240" max="5240" width="13" style="5" customWidth="1"/>
    <col min="5241" max="5252" width="11.7109375" style="5" customWidth="1"/>
    <col min="5253" max="5253" width="12.5703125" style="5" customWidth="1"/>
    <col min="5254" max="5254" width="11.7109375" style="5" customWidth="1"/>
    <col min="5255" max="5255" width="13" style="5" customWidth="1"/>
    <col min="5256" max="5261" width="11.7109375" style="5" customWidth="1"/>
    <col min="5262" max="5262" width="13.7109375" style="5" customWidth="1"/>
    <col min="5263" max="5263" width="13.140625" style="5" customWidth="1"/>
    <col min="5264" max="5267" width="13" style="5" customWidth="1"/>
    <col min="5268" max="5274" width="11.7109375" style="5" customWidth="1"/>
    <col min="5275" max="5275" width="10.85546875" style="5" customWidth="1"/>
    <col min="5276" max="5276" width="11.7109375" style="5" customWidth="1"/>
    <col min="5277" max="5279" width="22.7109375" style="5" customWidth="1"/>
    <col min="5280" max="5282" width="20.7109375" style="5" customWidth="1"/>
    <col min="5283" max="5470" width="8.85546875" style="5"/>
    <col min="5471" max="5471" width="6.140625" style="5" customWidth="1"/>
    <col min="5472" max="5472" width="20.28515625" style="5" customWidth="1"/>
    <col min="5473" max="5473" width="12.42578125" style="5" customWidth="1"/>
    <col min="5474" max="5474" width="13" style="5" customWidth="1"/>
    <col min="5475" max="5475" width="12.5703125" style="5" customWidth="1"/>
    <col min="5476" max="5489" width="11.7109375" style="5" customWidth="1"/>
    <col min="5490" max="5490" width="12.28515625" style="5" customWidth="1"/>
    <col min="5491" max="5491" width="11.7109375" style="5" customWidth="1"/>
    <col min="5492" max="5492" width="12.85546875" style="5" customWidth="1"/>
    <col min="5493" max="5493" width="11.7109375" style="5" customWidth="1"/>
    <col min="5494" max="5494" width="12.7109375" style="5" customWidth="1"/>
    <col min="5495" max="5495" width="11.7109375" style="5" customWidth="1"/>
    <col min="5496" max="5496" width="13" style="5" customWidth="1"/>
    <col min="5497" max="5508" width="11.7109375" style="5" customWidth="1"/>
    <col min="5509" max="5509" width="12.5703125" style="5" customWidth="1"/>
    <col min="5510" max="5510" width="11.7109375" style="5" customWidth="1"/>
    <col min="5511" max="5511" width="13" style="5" customWidth="1"/>
    <col min="5512" max="5517" width="11.7109375" style="5" customWidth="1"/>
    <col min="5518" max="5518" width="13.7109375" style="5" customWidth="1"/>
    <col min="5519" max="5519" width="13.140625" style="5" customWidth="1"/>
    <col min="5520" max="5523" width="13" style="5" customWidth="1"/>
    <col min="5524" max="5530" width="11.7109375" style="5" customWidth="1"/>
    <col min="5531" max="5531" width="10.85546875" style="5" customWidth="1"/>
    <col min="5532" max="5532" width="11.7109375" style="5" customWidth="1"/>
    <col min="5533" max="5535" width="22.7109375" style="5" customWidth="1"/>
    <col min="5536" max="5538" width="20.7109375" style="5" customWidth="1"/>
    <col min="5539" max="5726" width="8.85546875" style="5"/>
    <col min="5727" max="5727" width="6.140625" style="5" customWidth="1"/>
    <col min="5728" max="5728" width="20.28515625" style="5" customWidth="1"/>
    <col min="5729" max="5729" width="12.42578125" style="5" customWidth="1"/>
    <col min="5730" max="5730" width="13" style="5" customWidth="1"/>
    <col min="5731" max="5731" width="12.5703125" style="5" customWidth="1"/>
    <col min="5732" max="5745" width="11.7109375" style="5" customWidth="1"/>
    <col min="5746" max="5746" width="12.28515625" style="5" customWidth="1"/>
    <col min="5747" max="5747" width="11.7109375" style="5" customWidth="1"/>
    <col min="5748" max="5748" width="12.85546875" style="5" customWidth="1"/>
    <col min="5749" max="5749" width="11.7109375" style="5" customWidth="1"/>
    <col min="5750" max="5750" width="12.7109375" style="5" customWidth="1"/>
    <col min="5751" max="5751" width="11.7109375" style="5" customWidth="1"/>
    <col min="5752" max="5752" width="13" style="5" customWidth="1"/>
    <col min="5753" max="5764" width="11.7109375" style="5" customWidth="1"/>
    <col min="5765" max="5765" width="12.5703125" style="5" customWidth="1"/>
    <col min="5766" max="5766" width="11.7109375" style="5" customWidth="1"/>
    <col min="5767" max="5767" width="13" style="5" customWidth="1"/>
    <col min="5768" max="5773" width="11.7109375" style="5" customWidth="1"/>
    <col min="5774" max="5774" width="13.7109375" style="5" customWidth="1"/>
    <col min="5775" max="5775" width="13.140625" style="5" customWidth="1"/>
    <col min="5776" max="5779" width="13" style="5" customWidth="1"/>
    <col min="5780" max="5786" width="11.7109375" style="5" customWidth="1"/>
    <col min="5787" max="5787" width="10.85546875" style="5" customWidth="1"/>
    <col min="5788" max="5788" width="11.7109375" style="5" customWidth="1"/>
    <col min="5789" max="5791" width="22.7109375" style="5" customWidth="1"/>
    <col min="5792" max="5794" width="20.7109375" style="5" customWidth="1"/>
    <col min="5795" max="5982" width="8.85546875" style="5"/>
    <col min="5983" max="5983" width="6.140625" style="5" customWidth="1"/>
    <col min="5984" max="5984" width="20.28515625" style="5" customWidth="1"/>
    <col min="5985" max="5985" width="12.42578125" style="5" customWidth="1"/>
    <col min="5986" max="5986" width="13" style="5" customWidth="1"/>
    <col min="5987" max="5987" width="12.5703125" style="5" customWidth="1"/>
    <col min="5988" max="6001" width="11.7109375" style="5" customWidth="1"/>
    <col min="6002" max="6002" width="12.28515625" style="5" customWidth="1"/>
    <col min="6003" max="6003" width="11.7109375" style="5" customWidth="1"/>
    <col min="6004" max="6004" width="12.85546875" style="5" customWidth="1"/>
    <col min="6005" max="6005" width="11.7109375" style="5" customWidth="1"/>
    <col min="6006" max="6006" width="12.7109375" style="5" customWidth="1"/>
    <col min="6007" max="6007" width="11.7109375" style="5" customWidth="1"/>
    <col min="6008" max="6008" width="13" style="5" customWidth="1"/>
    <col min="6009" max="6020" width="11.7109375" style="5" customWidth="1"/>
    <col min="6021" max="6021" width="12.5703125" style="5" customWidth="1"/>
    <col min="6022" max="6022" width="11.7109375" style="5" customWidth="1"/>
    <col min="6023" max="6023" width="13" style="5" customWidth="1"/>
    <col min="6024" max="6029" width="11.7109375" style="5" customWidth="1"/>
    <col min="6030" max="6030" width="13.7109375" style="5" customWidth="1"/>
    <col min="6031" max="6031" width="13.140625" style="5" customWidth="1"/>
    <col min="6032" max="6035" width="13" style="5" customWidth="1"/>
    <col min="6036" max="6042" width="11.7109375" style="5" customWidth="1"/>
    <col min="6043" max="6043" width="10.85546875" style="5" customWidth="1"/>
    <col min="6044" max="6044" width="11.7109375" style="5" customWidth="1"/>
    <col min="6045" max="6047" width="22.7109375" style="5" customWidth="1"/>
    <col min="6048" max="6050" width="20.7109375" style="5" customWidth="1"/>
    <col min="6051" max="6238" width="8.85546875" style="5"/>
    <col min="6239" max="6239" width="6.140625" style="5" customWidth="1"/>
    <col min="6240" max="6240" width="20.28515625" style="5" customWidth="1"/>
    <col min="6241" max="6241" width="12.42578125" style="5" customWidth="1"/>
    <col min="6242" max="6242" width="13" style="5" customWidth="1"/>
    <col min="6243" max="6243" width="12.5703125" style="5" customWidth="1"/>
    <col min="6244" max="6257" width="11.7109375" style="5" customWidth="1"/>
    <col min="6258" max="6258" width="12.28515625" style="5" customWidth="1"/>
    <col min="6259" max="6259" width="11.7109375" style="5" customWidth="1"/>
    <col min="6260" max="6260" width="12.85546875" style="5" customWidth="1"/>
    <col min="6261" max="6261" width="11.7109375" style="5" customWidth="1"/>
    <col min="6262" max="6262" width="12.7109375" style="5" customWidth="1"/>
    <col min="6263" max="6263" width="11.7109375" style="5" customWidth="1"/>
    <col min="6264" max="6264" width="13" style="5" customWidth="1"/>
    <col min="6265" max="6276" width="11.7109375" style="5" customWidth="1"/>
    <col min="6277" max="6277" width="12.5703125" style="5" customWidth="1"/>
    <col min="6278" max="6278" width="11.7109375" style="5" customWidth="1"/>
    <col min="6279" max="6279" width="13" style="5" customWidth="1"/>
    <col min="6280" max="6285" width="11.7109375" style="5" customWidth="1"/>
    <col min="6286" max="6286" width="13.7109375" style="5" customWidth="1"/>
    <col min="6287" max="6287" width="13.140625" style="5" customWidth="1"/>
    <col min="6288" max="6291" width="13" style="5" customWidth="1"/>
    <col min="6292" max="6298" width="11.7109375" style="5" customWidth="1"/>
    <col min="6299" max="6299" width="10.85546875" style="5" customWidth="1"/>
    <col min="6300" max="6300" width="11.7109375" style="5" customWidth="1"/>
    <col min="6301" max="6303" width="22.7109375" style="5" customWidth="1"/>
    <col min="6304" max="6306" width="20.7109375" style="5" customWidth="1"/>
    <col min="6307" max="6494" width="8.85546875" style="5"/>
    <col min="6495" max="6495" width="6.140625" style="5" customWidth="1"/>
    <col min="6496" max="6496" width="20.28515625" style="5" customWidth="1"/>
    <col min="6497" max="6497" width="12.42578125" style="5" customWidth="1"/>
    <col min="6498" max="6498" width="13" style="5" customWidth="1"/>
    <col min="6499" max="6499" width="12.5703125" style="5" customWidth="1"/>
    <col min="6500" max="6513" width="11.7109375" style="5" customWidth="1"/>
    <col min="6514" max="6514" width="12.28515625" style="5" customWidth="1"/>
    <col min="6515" max="6515" width="11.7109375" style="5" customWidth="1"/>
    <col min="6516" max="6516" width="12.85546875" style="5" customWidth="1"/>
    <col min="6517" max="6517" width="11.7109375" style="5" customWidth="1"/>
    <col min="6518" max="6518" width="12.7109375" style="5" customWidth="1"/>
    <col min="6519" max="6519" width="11.7109375" style="5" customWidth="1"/>
    <col min="6520" max="6520" width="13" style="5" customWidth="1"/>
    <col min="6521" max="6532" width="11.7109375" style="5" customWidth="1"/>
    <col min="6533" max="6533" width="12.5703125" style="5" customWidth="1"/>
    <col min="6534" max="6534" width="11.7109375" style="5" customWidth="1"/>
    <col min="6535" max="6535" width="13" style="5" customWidth="1"/>
    <col min="6536" max="6541" width="11.7109375" style="5" customWidth="1"/>
    <col min="6542" max="6542" width="13.7109375" style="5" customWidth="1"/>
    <col min="6543" max="6543" width="13.140625" style="5" customWidth="1"/>
    <col min="6544" max="6547" width="13" style="5" customWidth="1"/>
    <col min="6548" max="6554" width="11.7109375" style="5" customWidth="1"/>
    <col min="6555" max="6555" width="10.85546875" style="5" customWidth="1"/>
    <col min="6556" max="6556" width="11.7109375" style="5" customWidth="1"/>
    <col min="6557" max="6559" width="22.7109375" style="5" customWidth="1"/>
    <col min="6560" max="6562" width="20.7109375" style="5" customWidth="1"/>
    <col min="6563" max="6750" width="8.85546875" style="5"/>
    <col min="6751" max="6751" width="6.140625" style="5" customWidth="1"/>
    <col min="6752" max="6752" width="20.28515625" style="5" customWidth="1"/>
    <col min="6753" max="6753" width="12.42578125" style="5" customWidth="1"/>
    <col min="6754" max="6754" width="13" style="5" customWidth="1"/>
    <col min="6755" max="6755" width="12.5703125" style="5" customWidth="1"/>
    <col min="6756" max="6769" width="11.7109375" style="5" customWidth="1"/>
    <col min="6770" max="6770" width="12.28515625" style="5" customWidth="1"/>
    <col min="6771" max="6771" width="11.7109375" style="5" customWidth="1"/>
    <col min="6772" max="6772" width="12.85546875" style="5" customWidth="1"/>
    <col min="6773" max="6773" width="11.7109375" style="5" customWidth="1"/>
    <col min="6774" max="6774" width="12.7109375" style="5" customWidth="1"/>
    <col min="6775" max="6775" width="11.7109375" style="5" customWidth="1"/>
    <col min="6776" max="6776" width="13" style="5" customWidth="1"/>
    <col min="6777" max="6788" width="11.7109375" style="5" customWidth="1"/>
    <col min="6789" max="6789" width="12.5703125" style="5" customWidth="1"/>
    <col min="6790" max="6790" width="11.7109375" style="5" customWidth="1"/>
    <col min="6791" max="6791" width="13" style="5" customWidth="1"/>
    <col min="6792" max="6797" width="11.7109375" style="5" customWidth="1"/>
    <col min="6798" max="6798" width="13.7109375" style="5" customWidth="1"/>
    <col min="6799" max="6799" width="13.140625" style="5" customWidth="1"/>
    <col min="6800" max="6803" width="13" style="5" customWidth="1"/>
    <col min="6804" max="6810" width="11.7109375" style="5" customWidth="1"/>
    <col min="6811" max="6811" width="10.85546875" style="5" customWidth="1"/>
    <col min="6812" max="6812" width="11.7109375" style="5" customWidth="1"/>
    <col min="6813" max="6815" width="22.7109375" style="5" customWidth="1"/>
    <col min="6816" max="6818" width="20.7109375" style="5" customWidth="1"/>
    <col min="6819" max="7006" width="8.85546875" style="5"/>
    <col min="7007" max="7007" width="6.140625" style="5" customWidth="1"/>
    <col min="7008" max="7008" width="20.28515625" style="5" customWidth="1"/>
    <col min="7009" max="7009" width="12.42578125" style="5" customWidth="1"/>
    <col min="7010" max="7010" width="13" style="5" customWidth="1"/>
    <col min="7011" max="7011" width="12.5703125" style="5" customWidth="1"/>
    <col min="7012" max="7025" width="11.7109375" style="5" customWidth="1"/>
    <col min="7026" max="7026" width="12.28515625" style="5" customWidth="1"/>
    <col min="7027" max="7027" width="11.7109375" style="5" customWidth="1"/>
    <col min="7028" max="7028" width="12.85546875" style="5" customWidth="1"/>
    <col min="7029" max="7029" width="11.7109375" style="5" customWidth="1"/>
    <col min="7030" max="7030" width="12.7109375" style="5" customWidth="1"/>
    <col min="7031" max="7031" width="11.7109375" style="5" customWidth="1"/>
    <col min="7032" max="7032" width="13" style="5" customWidth="1"/>
    <col min="7033" max="7044" width="11.7109375" style="5" customWidth="1"/>
    <col min="7045" max="7045" width="12.5703125" style="5" customWidth="1"/>
    <col min="7046" max="7046" width="11.7109375" style="5" customWidth="1"/>
    <col min="7047" max="7047" width="13" style="5" customWidth="1"/>
    <col min="7048" max="7053" width="11.7109375" style="5" customWidth="1"/>
    <col min="7054" max="7054" width="13.7109375" style="5" customWidth="1"/>
    <col min="7055" max="7055" width="13.140625" style="5" customWidth="1"/>
    <col min="7056" max="7059" width="13" style="5" customWidth="1"/>
    <col min="7060" max="7066" width="11.7109375" style="5" customWidth="1"/>
    <col min="7067" max="7067" width="10.85546875" style="5" customWidth="1"/>
    <col min="7068" max="7068" width="11.7109375" style="5" customWidth="1"/>
    <col min="7069" max="7071" width="22.7109375" style="5" customWidth="1"/>
    <col min="7072" max="7074" width="20.7109375" style="5" customWidth="1"/>
    <col min="7075" max="7262" width="8.85546875" style="5"/>
    <col min="7263" max="7263" width="6.140625" style="5" customWidth="1"/>
    <col min="7264" max="7264" width="20.28515625" style="5" customWidth="1"/>
    <col min="7265" max="7265" width="12.42578125" style="5" customWidth="1"/>
    <col min="7266" max="7266" width="13" style="5" customWidth="1"/>
    <col min="7267" max="7267" width="12.5703125" style="5" customWidth="1"/>
    <col min="7268" max="7281" width="11.7109375" style="5" customWidth="1"/>
    <col min="7282" max="7282" width="12.28515625" style="5" customWidth="1"/>
    <col min="7283" max="7283" width="11.7109375" style="5" customWidth="1"/>
    <col min="7284" max="7284" width="12.85546875" style="5" customWidth="1"/>
    <col min="7285" max="7285" width="11.7109375" style="5" customWidth="1"/>
    <col min="7286" max="7286" width="12.7109375" style="5" customWidth="1"/>
    <col min="7287" max="7287" width="11.7109375" style="5" customWidth="1"/>
    <col min="7288" max="7288" width="13" style="5" customWidth="1"/>
    <col min="7289" max="7300" width="11.7109375" style="5" customWidth="1"/>
    <col min="7301" max="7301" width="12.5703125" style="5" customWidth="1"/>
    <col min="7302" max="7302" width="11.7109375" style="5" customWidth="1"/>
    <col min="7303" max="7303" width="13" style="5" customWidth="1"/>
    <col min="7304" max="7309" width="11.7109375" style="5" customWidth="1"/>
    <col min="7310" max="7310" width="13.7109375" style="5" customWidth="1"/>
    <col min="7311" max="7311" width="13.140625" style="5" customWidth="1"/>
    <col min="7312" max="7315" width="13" style="5" customWidth="1"/>
    <col min="7316" max="7322" width="11.7109375" style="5" customWidth="1"/>
    <col min="7323" max="7323" width="10.85546875" style="5" customWidth="1"/>
    <col min="7324" max="7324" width="11.7109375" style="5" customWidth="1"/>
    <col min="7325" max="7327" width="22.7109375" style="5" customWidth="1"/>
    <col min="7328" max="7330" width="20.7109375" style="5" customWidth="1"/>
    <col min="7331" max="7518" width="8.85546875" style="5"/>
    <col min="7519" max="7519" width="6.140625" style="5" customWidth="1"/>
    <col min="7520" max="7520" width="20.28515625" style="5" customWidth="1"/>
    <col min="7521" max="7521" width="12.42578125" style="5" customWidth="1"/>
    <col min="7522" max="7522" width="13" style="5" customWidth="1"/>
    <col min="7523" max="7523" width="12.5703125" style="5" customWidth="1"/>
    <col min="7524" max="7537" width="11.7109375" style="5" customWidth="1"/>
    <col min="7538" max="7538" width="12.28515625" style="5" customWidth="1"/>
    <col min="7539" max="7539" width="11.7109375" style="5" customWidth="1"/>
    <col min="7540" max="7540" width="12.85546875" style="5" customWidth="1"/>
    <col min="7541" max="7541" width="11.7109375" style="5" customWidth="1"/>
    <col min="7542" max="7542" width="12.7109375" style="5" customWidth="1"/>
    <col min="7543" max="7543" width="11.7109375" style="5" customWidth="1"/>
    <col min="7544" max="7544" width="13" style="5" customWidth="1"/>
    <col min="7545" max="7556" width="11.7109375" style="5" customWidth="1"/>
    <col min="7557" max="7557" width="12.5703125" style="5" customWidth="1"/>
    <col min="7558" max="7558" width="11.7109375" style="5" customWidth="1"/>
    <col min="7559" max="7559" width="13" style="5" customWidth="1"/>
    <col min="7560" max="7565" width="11.7109375" style="5" customWidth="1"/>
    <col min="7566" max="7566" width="13.7109375" style="5" customWidth="1"/>
    <col min="7567" max="7567" width="13.140625" style="5" customWidth="1"/>
    <col min="7568" max="7571" width="13" style="5" customWidth="1"/>
    <col min="7572" max="7578" width="11.7109375" style="5" customWidth="1"/>
    <col min="7579" max="7579" width="10.85546875" style="5" customWidth="1"/>
    <col min="7580" max="7580" width="11.7109375" style="5" customWidth="1"/>
    <col min="7581" max="7583" width="22.7109375" style="5" customWidth="1"/>
    <col min="7584" max="7586" width="20.7109375" style="5" customWidth="1"/>
    <col min="7587" max="7774" width="8.85546875" style="5"/>
    <col min="7775" max="7775" width="6.140625" style="5" customWidth="1"/>
    <col min="7776" max="7776" width="20.28515625" style="5" customWidth="1"/>
    <col min="7777" max="7777" width="12.42578125" style="5" customWidth="1"/>
    <col min="7778" max="7778" width="13" style="5" customWidth="1"/>
    <col min="7779" max="7779" width="12.5703125" style="5" customWidth="1"/>
    <col min="7780" max="7793" width="11.7109375" style="5" customWidth="1"/>
    <col min="7794" max="7794" width="12.28515625" style="5" customWidth="1"/>
    <col min="7795" max="7795" width="11.7109375" style="5" customWidth="1"/>
    <col min="7796" max="7796" width="12.85546875" style="5" customWidth="1"/>
    <col min="7797" max="7797" width="11.7109375" style="5" customWidth="1"/>
    <col min="7798" max="7798" width="12.7109375" style="5" customWidth="1"/>
    <col min="7799" max="7799" width="11.7109375" style="5" customWidth="1"/>
    <col min="7800" max="7800" width="13" style="5" customWidth="1"/>
    <col min="7801" max="7812" width="11.7109375" style="5" customWidth="1"/>
    <col min="7813" max="7813" width="12.5703125" style="5" customWidth="1"/>
    <col min="7814" max="7814" width="11.7109375" style="5" customWidth="1"/>
    <col min="7815" max="7815" width="13" style="5" customWidth="1"/>
    <col min="7816" max="7821" width="11.7109375" style="5" customWidth="1"/>
    <col min="7822" max="7822" width="13.7109375" style="5" customWidth="1"/>
    <col min="7823" max="7823" width="13.140625" style="5" customWidth="1"/>
    <col min="7824" max="7827" width="13" style="5" customWidth="1"/>
    <col min="7828" max="7834" width="11.7109375" style="5" customWidth="1"/>
    <col min="7835" max="7835" width="10.85546875" style="5" customWidth="1"/>
    <col min="7836" max="7836" width="11.7109375" style="5" customWidth="1"/>
    <col min="7837" max="7839" width="22.7109375" style="5" customWidth="1"/>
    <col min="7840" max="7842" width="20.7109375" style="5" customWidth="1"/>
    <col min="7843" max="8030" width="8.85546875" style="5"/>
    <col min="8031" max="8031" width="6.140625" style="5" customWidth="1"/>
    <col min="8032" max="8032" width="20.28515625" style="5" customWidth="1"/>
    <col min="8033" max="8033" width="12.42578125" style="5" customWidth="1"/>
    <col min="8034" max="8034" width="13" style="5" customWidth="1"/>
    <col min="8035" max="8035" width="12.5703125" style="5" customWidth="1"/>
    <col min="8036" max="8049" width="11.7109375" style="5" customWidth="1"/>
    <col min="8050" max="8050" width="12.28515625" style="5" customWidth="1"/>
    <col min="8051" max="8051" width="11.7109375" style="5" customWidth="1"/>
    <col min="8052" max="8052" width="12.85546875" style="5" customWidth="1"/>
    <col min="8053" max="8053" width="11.7109375" style="5" customWidth="1"/>
    <col min="8054" max="8054" width="12.7109375" style="5" customWidth="1"/>
    <col min="8055" max="8055" width="11.7109375" style="5" customWidth="1"/>
    <col min="8056" max="8056" width="13" style="5" customWidth="1"/>
    <col min="8057" max="8068" width="11.7109375" style="5" customWidth="1"/>
    <col min="8069" max="8069" width="12.5703125" style="5" customWidth="1"/>
    <col min="8070" max="8070" width="11.7109375" style="5" customWidth="1"/>
    <col min="8071" max="8071" width="13" style="5" customWidth="1"/>
    <col min="8072" max="8077" width="11.7109375" style="5" customWidth="1"/>
    <col min="8078" max="8078" width="13.7109375" style="5" customWidth="1"/>
    <col min="8079" max="8079" width="13.140625" style="5" customWidth="1"/>
    <col min="8080" max="8083" width="13" style="5" customWidth="1"/>
    <col min="8084" max="8090" width="11.7109375" style="5" customWidth="1"/>
    <col min="8091" max="8091" width="10.85546875" style="5" customWidth="1"/>
    <col min="8092" max="8092" width="11.7109375" style="5" customWidth="1"/>
    <col min="8093" max="8095" width="22.7109375" style="5" customWidth="1"/>
    <col min="8096" max="8098" width="20.7109375" style="5" customWidth="1"/>
    <col min="8099" max="8286" width="8.85546875" style="5"/>
    <col min="8287" max="8287" width="6.140625" style="5" customWidth="1"/>
    <col min="8288" max="8288" width="20.28515625" style="5" customWidth="1"/>
    <col min="8289" max="8289" width="12.42578125" style="5" customWidth="1"/>
    <col min="8290" max="8290" width="13" style="5" customWidth="1"/>
    <col min="8291" max="8291" width="12.5703125" style="5" customWidth="1"/>
    <col min="8292" max="8305" width="11.7109375" style="5" customWidth="1"/>
    <col min="8306" max="8306" width="12.28515625" style="5" customWidth="1"/>
    <col min="8307" max="8307" width="11.7109375" style="5" customWidth="1"/>
    <col min="8308" max="8308" width="12.85546875" style="5" customWidth="1"/>
    <col min="8309" max="8309" width="11.7109375" style="5" customWidth="1"/>
    <col min="8310" max="8310" width="12.7109375" style="5" customWidth="1"/>
    <col min="8311" max="8311" width="11.7109375" style="5" customWidth="1"/>
    <col min="8312" max="8312" width="13" style="5" customWidth="1"/>
    <col min="8313" max="8324" width="11.7109375" style="5" customWidth="1"/>
    <col min="8325" max="8325" width="12.5703125" style="5" customWidth="1"/>
    <col min="8326" max="8326" width="11.7109375" style="5" customWidth="1"/>
    <col min="8327" max="8327" width="13" style="5" customWidth="1"/>
    <col min="8328" max="8333" width="11.7109375" style="5" customWidth="1"/>
    <col min="8334" max="8334" width="13.7109375" style="5" customWidth="1"/>
    <col min="8335" max="8335" width="13.140625" style="5" customWidth="1"/>
    <col min="8336" max="8339" width="13" style="5" customWidth="1"/>
    <col min="8340" max="8346" width="11.7109375" style="5" customWidth="1"/>
    <col min="8347" max="8347" width="10.85546875" style="5" customWidth="1"/>
    <col min="8348" max="8348" width="11.7109375" style="5" customWidth="1"/>
    <col min="8349" max="8351" width="22.7109375" style="5" customWidth="1"/>
    <col min="8352" max="8354" width="20.7109375" style="5" customWidth="1"/>
    <col min="8355" max="8542" width="8.85546875" style="5"/>
    <col min="8543" max="8543" width="6.140625" style="5" customWidth="1"/>
    <col min="8544" max="8544" width="20.28515625" style="5" customWidth="1"/>
    <col min="8545" max="8545" width="12.42578125" style="5" customWidth="1"/>
    <col min="8546" max="8546" width="13" style="5" customWidth="1"/>
    <col min="8547" max="8547" width="12.5703125" style="5" customWidth="1"/>
    <col min="8548" max="8561" width="11.7109375" style="5" customWidth="1"/>
    <col min="8562" max="8562" width="12.28515625" style="5" customWidth="1"/>
    <col min="8563" max="8563" width="11.7109375" style="5" customWidth="1"/>
    <col min="8564" max="8564" width="12.85546875" style="5" customWidth="1"/>
    <col min="8565" max="8565" width="11.7109375" style="5" customWidth="1"/>
    <col min="8566" max="8566" width="12.7109375" style="5" customWidth="1"/>
    <col min="8567" max="8567" width="11.7109375" style="5" customWidth="1"/>
    <col min="8568" max="8568" width="13" style="5" customWidth="1"/>
    <col min="8569" max="8580" width="11.7109375" style="5" customWidth="1"/>
    <col min="8581" max="8581" width="12.5703125" style="5" customWidth="1"/>
    <col min="8582" max="8582" width="11.7109375" style="5" customWidth="1"/>
    <col min="8583" max="8583" width="13" style="5" customWidth="1"/>
    <col min="8584" max="8589" width="11.7109375" style="5" customWidth="1"/>
    <col min="8590" max="8590" width="13.7109375" style="5" customWidth="1"/>
    <col min="8591" max="8591" width="13.140625" style="5" customWidth="1"/>
    <col min="8592" max="8595" width="13" style="5" customWidth="1"/>
    <col min="8596" max="8602" width="11.7109375" style="5" customWidth="1"/>
    <col min="8603" max="8603" width="10.85546875" style="5" customWidth="1"/>
    <col min="8604" max="8604" width="11.7109375" style="5" customWidth="1"/>
    <col min="8605" max="8607" width="22.7109375" style="5" customWidth="1"/>
    <col min="8608" max="8610" width="20.7109375" style="5" customWidth="1"/>
    <col min="8611" max="8798" width="8.85546875" style="5"/>
    <col min="8799" max="8799" width="6.140625" style="5" customWidth="1"/>
    <col min="8800" max="8800" width="20.28515625" style="5" customWidth="1"/>
    <col min="8801" max="8801" width="12.42578125" style="5" customWidth="1"/>
    <col min="8802" max="8802" width="13" style="5" customWidth="1"/>
    <col min="8803" max="8803" width="12.5703125" style="5" customWidth="1"/>
    <col min="8804" max="8817" width="11.7109375" style="5" customWidth="1"/>
    <col min="8818" max="8818" width="12.28515625" style="5" customWidth="1"/>
    <col min="8819" max="8819" width="11.7109375" style="5" customWidth="1"/>
    <col min="8820" max="8820" width="12.85546875" style="5" customWidth="1"/>
    <col min="8821" max="8821" width="11.7109375" style="5" customWidth="1"/>
    <col min="8822" max="8822" width="12.7109375" style="5" customWidth="1"/>
    <col min="8823" max="8823" width="11.7109375" style="5" customWidth="1"/>
    <col min="8824" max="8824" width="13" style="5" customWidth="1"/>
    <col min="8825" max="8836" width="11.7109375" style="5" customWidth="1"/>
    <col min="8837" max="8837" width="12.5703125" style="5" customWidth="1"/>
    <col min="8838" max="8838" width="11.7109375" style="5" customWidth="1"/>
    <col min="8839" max="8839" width="13" style="5" customWidth="1"/>
    <col min="8840" max="8845" width="11.7109375" style="5" customWidth="1"/>
    <col min="8846" max="8846" width="13.7109375" style="5" customWidth="1"/>
    <col min="8847" max="8847" width="13.140625" style="5" customWidth="1"/>
    <col min="8848" max="8851" width="13" style="5" customWidth="1"/>
    <col min="8852" max="8858" width="11.7109375" style="5" customWidth="1"/>
    <col min="8859" max="8859" width="10.85546875" style="5" customWidth="1"/>
    <col min="8860" max="8860" width="11.7109375" style="5" customWidth="1"/>
    <col min="8861" max="8863" width="22.7109375" style="5" customWidth="1"/>
    <col min="8864" max="8866" width="20.7109375" style="5" customWidth="1"/>
    <col min="8867" max="9054" width="8.85546875" style="5"/>
    <col min="9055" max="9055" width="6.140625" style="5" customWidth="1"/>
    <col min="9056" max="9056" width="20.28515625" style="5" customWidth="1"/>
    <col min="9057" max="9057" width="12.42578125" style="5" customWidth="1"/>
    <col min="9058" max="9058" width="13" style="5" customWidth="1"/>
    <col min="9059" max="9059" width="12.5703125" style="5" customWidth="1"/>
    <col min="9060" max="9073" width="11.7109375" style="5" customWidth="1"/>
    <col min="9074" max="9074" width="12.28515625" style="5" customWidth="1"/>
    <col min="9075" max="9075" width="11.7109375" style="5" customWidth="1"/>
    <col min="9076" max="9076" width="12.85546875" style="5" customWidth="1"/>
    <col min="9077" max="9077" width="11.7109375" style="5" customWidth="1"/>
    <col min="9078" max="9078" width="12.7109375" style="5" customWidth="1"/>
    <col min="9079" max="9079" width="11.7109375" style="5" customWidth="1"/>
    <col min="9080" max="9080" width="13" style="5" customWidth="1"/>
    <col min="9081" max="9092" width="11.7109375" style="5" customWidth="1"/>
    <col min="9093" max="9093" width="12.5703125" style="5" customWidth="1"/>
    <col min="9094" max="9094" width="11.7109375" style="5" customWidth="1"/>
    <col min="9095" max="9095" width="13" style="5" customWidth="1"/>
    <col min="9096" max="9101" width="11.7109375" style="5" customWidth="1"/>
    <col min="9102" max="9102" width="13.7109375" style="5" customWidth="1"/>
    <col min="9103" max="9103" width="13.140625" style="5" customWidth="1"/>
    <col min="9104" max="9107" width="13" style="5" customWidth="1"/>
    <col min="9108" max="9114" width="11.7109375" style="5" customWidth="1"/>
    <col min="9115" max="9115" width="10.85546875" style="5" customWidth="1"/>
    <col min="9116" max="9116" width="11.7109375" style="5" customWidth="1"/>
    <col min="9117" max="9119" width="22.7109375" style="5" customWidth="1"/>
    <col min="9120" max="9122" width="20.7109375" style="5" customWidth="1"/>
    <col min="9123" max="9310" width="8.85546875" style="5"/>
    <col min="9311" max="9311" width="6.140625" style="5" customWidth="1"/>
    <col min="9312" max="9312" width="20.28515625" style="5" customWidth="1"/>
    <col min="9313" max="9313" width="12.42578125" style="5" customWidth="1"/>
    <col min="9314" max="9314" width="13" style="5" customWidth="1"/>
    <col min="9315" max="9315" width="12.5703125" style="5" customWidth="1"/>
    <col min="9316" max="9329" width="11.7109375" style="5" customWidth="1"/>
    <col min="9330" max="9330" width="12.28515625" style="5" customWidth="1"/>
    <col min="9331" max="9331" width="11.7109375" style="5" customWidth="1"/>
    <col min="9332" max="9332" width="12.85546875" style="5" customWidth="1"/>
    <col min="9333" max="9333" width="11.7109375" style="5" customWidth="1"/>
    <col min="9334" max="9334" width="12.7109375" style="5" customWidth="1"/>
    <col min="9335" max="9335" width="11.7109375" style="5" customWidth="1"/>
    <col min="9336" max="9336" width="13" style="5" customWidth="1"/>
    <col min="9337" max="9348" width="11.7109375" style="5" customWidth="1"/>
    <col min="9349" max="9349" width="12.5703125" style="5" customWidth="1"/>
    <col min="9350" max="9350" width="11.7109375" style="5" customWidth="1"/>
    <col min="9351" max="9351" width="13" style="5" customWidth="1"/>
    <col min="9352" max="9357" width="11.7109375" style="5" customWidth="1"/>
    <col min="9358" max="9358" width="13.7109375" style="5" customWidth="1"/>
    <col min="9359" max="9359" width="13.140625" style="5" customWidth="1"/>
    <col min="9360" max="9363" width="13" style="5" customWidth="1"/>
    <col min="9364" max="9370" width="11.7109375" style="5" customWidth="1"/>
    <col min="9371" max="9371" width="10.85546875" style="5" customWidth="1"/>
    <col min="9372" max="9372" width="11.7109375" style="5" customWidth="1"/>
    <col min="9373" max="9375" width="22.7109375" style="5" customWidth="1"/>
    <col min="9376" max="9378" width="20.7109375" style="5" customWidth="1"/>
    <col min="9379" max="9566" width="8.85546875" style="5"/>
    <col min="9567" max="9567" width="6.140625" style="5" customWidth="1"/>
    <col min="9568" max="9568" width="20.28515625" style="5" customWidth="1"/>
    <col min="9569" max="9569" width="12.42578125" style="5" customWidth="1"/>
    <col min="9570" max="9570" width="13" style="5" customWidth="1"/>
    <col min="9571" max="9571" width="12.5703125" style="5" customWidth="1"/>
    <col min="9572" max="9585" width="11.7109375" style="5" customWidth="1"/>
    <col min="9586" max="9586" width="12.28515625" style="5" customWidth="1"/>
    <col min="9587" max="9587" width="11.7109375" style="5" customWidth="1"/>
    <col min="9588" max="9588" width="12.85546875" style="5" customWidth="1"/>
    <col min="9589" max="9589" width="11.7109375" style="5" customWidth="1"/>
    <col min="9590" max="9590" width="12.7109375" style="5" customWidth="1"/>
    <col min="9591" max="9591" width="11.7109375" style="5" customWidth="1"/>
    <col min="9592" max="9592" width="13" style="5" customWidth="1"/>
    <col min="9593" max="9604" width="11.7109375" style="5" customWidth="1"/>
    <col min="9605" max="9605" width="12.5703125" style="5" customWidth="1"/>
    <col min="9606" max="9606" width="11.7109375" style="5" customWidth="1"/>
    <col min="9607" max="9607" width="13" style="5" customWidth="1"/>
    <col min="9608" max="9613" width="11.7109375" style="5" customWidth="1"/>
    <col min="9614" max="9614" width="13.7109375" style="5" customWidth="1"/>
    <col min="9615" max="9615" width="13.140625" style="5" customWidth="1"/>
    <col min="9616" max="9619" width="13" style="5" customWidth="1"/>
    <col min="9620" max="9626" width="11.7109375" style="5" customWidth="1"/>
    <col min="9627" max="9627" width="10.85546875" style="5" customWidth="1"/>
    <col min="9628" max="9628" width="11.7109375" style="5" customWidth="1"/>
    <col min="9629" max="9631" width="22.7109375" style="5" customWidth="1"/>
    <col min="9632" max="9634" width="20.7109375" style="5" customWidth="1"/>
    <col min="9635" max="9822" width="8.85546875" style="5"/>
    <col min="9823" max="9823" width="6.140625" style="5" customWidth="1"/>
    <col min="9824" max="9824" width="20.28515625" style="5" customWidth="1"/>
    <col min="9825" max="9825" width="12.42578125" style="5" customWidth="1"/>
    <col min="9826" max="9826" width="13" style="5" customWidth="1"/>
    <col min="9827" max="9827" width="12.5703125" style="5" customWidth="1"/>
    <col min="9828" max="9841" width="11.7109375" style="5" customWidth="1"/>
    <col min="9842" max="9842" width="12.28515625" style="5" customWidth="1"/>
    <col min="9843" max="9843" width="11.7109375" style="5" customWidth="1"/>
    <col min="9844" max="9844" width="12.85546875" style="5" customWidth="1"/>
    <col min="9845" max="9845" width="11.7109375" style="5" customWidth="1"/>
    <col min="9846" max="9846" width="12.7109375" style="5" customWidth="1"/>
    <col min="9847" max="9847" width="11.7109375" style="5" customWidth="1"/>
    <col min="9848" max="9848" width="13" style="5" customWidth="1"/>
    <col min="9849" max="9860" width="11.7109375" style="5" customWidth="1"/>
    <col min="9861" max="9861" width="12.5703125" style="5" customWidth="1"/>
    <col min="9862" max="9862" width="11.7109375" style="5" customWidth="1"/>
    <col min="9863" max="9863" width="13" style="5" customWidth="1"/>
    <col min="9864" max="9869" width="11.7109375" style="5" customWidth="1"/>
    <col min="9870" max="9870" width="13.7109375" style="5" customWidth="1"/>
    <col min="9871" max="9871" width="13.140625" style="5" customWidth="1"/>
    <col min="9872" max="9875" width="13" style="5" customWidth="1"/>
    <col min="9876" max="9882" width="11.7109375" style="5" customWidth="1"/>
    <col min="9883" max="9883" width="10.85546875" style="5" customWidth="1"/>
    <col min="9884" max="9884" width="11.7109375" style="5" customWidth="1"/>
    <col min="9885" max="9887" width="22.7109375" style="5" customWidth="1"/>
    <col min="9888" max="9890" width="20.7109375" style="5" customWidth="1"/>
    <col min="9891" max="10078" width="8.85546875" style="5"/>
    <col min="10079" max="10079" width="6.140625" style="5" customWidth="1"/>
    <col min="10080" max="10080" width="20.28515625" style="5" customWidth="1"/>
    <col min="10081" max="10081" width="12.42578125" style="5" customWidth="1"/>
    <col min="10082" max="10082" width="13" style="5" customWidth="1"/>
    <col min="10083" max="10083" width="12.5703125" style="5" customWidth="1"/>
    <col min="10084" max="10097" width="11.7109375" style="5" customWidth="1"/>
    <col min="10098" max="10098" width="12.28515625" style="5" customWidth="1"/>
    <col min="10099" max="10099" width="11.7109375" style="5" customWidth="1"/>
    <col min="10100" max="10100" width="12.85546875" style="5" customWidth="1"/>
    <col min="10101" max="10101" width="11.7109375" style="5" customWidth="1"/>
    <col min="10102" max="10102" width="12.7109375" style="5" customWidth="1"/>
    <col min="10103" max="10103" width="11.7109375" style="5" customWidth="1"/>
    <col min="10104" max="10104" width="13" style="5" customWidth="1"/>
    <col min="10105" max="10116" width="11.7109375" style="5" customWidth="1"/>
    <col min="10117" max="10117" width="12.5703125" style="5" customWidth="1"/>
    <col min="10118" max="10118" width="11.7109375" style="5" customWidth="1"/>
    <col min="10119" max="10119" width="13" style="5" customWidth="1"/>
    <col min="10120" max="10125" width="11.7109375" style="5" customWidth="1"/>
    <col min="10126" max="10126" width="13.7109375" style="5" customWidth="1"/>
    <col min="10127" max="10127" width="13.140625" style="5" customWidth="1"/>
    <col min="10128" max="10131" width="13" style="5" customWidth="1"/>
    <col min="10132" max="10138" width="11.7109375" style="5" customWidth="1"/>
    <col min="10139" max="10139" width="10.85546875" style="5" customWidth="1"/>
    <col min="10140" max="10140" width="11.7109375" style="5" customWidth="1"/>
    <col min="10141" max="10143" width="22.7109375" style="5" customWidth="1"/>
    <col min="10144" max="10146" width="20.7109375" style="5" customWidth="1"/>
    <col min="10147" max="10334" width="8.85546875" style="5"/>
    <col min="10335" max="10335" width="6.140625" style="5" customWidth="1"/>
    <col min="10336" max="10336" width="20.28515625" style="5" customWidth="1"/>
    <col min="10337" max="10337" width="12.42578125" style="5" customWidth="1"/>
    <col min="10338" max="10338" width="13" style="5" customWidth="1"/>
    <col min="10339" max="10339" width="12.5703125" style="5" customWidth="1"/>
    <col min="10340" max="10353" width="11.7109375" style="5" customWidth="1"/>
    <col min="10354" max="10354" width="12.28515625" style="5" customWidth="1"/>
    <col min="10355" max="10355" width="11.7109375" style="5" customWidth="1"/>
    <col min="10356" max="10356" width="12.85546875" style="5" customWidth="1"/>
    <col min="10357" max="10357" width="11.7109375" style="5" customWidth="1"/>
    <col min="10358" max="10358" width="12.7109375" style="5" customWidth="1"/>
    <col min="10359" max="10359" width="11.7109375" style="5" customWidth="1"/>
    <col min="10360" max="10360" width="13" style="5" customWidth="1"/>
    <col min="10361" max="10372" width="11.7109375" style="5" customWidth="1"/>
    <col min="10373" max="10373" width="12.5703125" style="5" customWidth="1"/>
    <col min="10374" max="10374" width="11.7109375" style="5" customWidth="1"/>
    <col min="10375" max="10375" width="13" style="5" customWidth="1"/>
    <col min="10376" max="10381" width="11.7109375" style="5" customWidth="1"/>
    <col min="10382" max="10382" width="13.7109375" style="5" customWidth="1"/>
    <col min="10383" max="10383" width="13.140625" style="5" customWidth="1"/>
    <col min="10384" max="10387" width="13" style="5" customWidth="1"/>
    <col min="10388" max="10394" width="11.7109375" style="5" customWidth="1"/>
    <col min="10395" max="10395" width="10.85546875" style="5" customWidth="1"/>
    <col min="10396" max="10396" width="11.7109375" style="5" customWidth="1"/>
    <col min="10397" max="10399" width="22.7109375" style="5" customWidth="1"/>
    <col min="10400" max="10402" width="20.7109375" style="5" customWidth="1"/>
    <col min="10403" max="10590" width="8.85546875" style="5"/>
    <col min="10591" max="10591" width="6.140625" style="5" customWidth="1"/>
    <col min="10592" max="10592" width="20.28515625" style="5" customWidth="1"/>
    <col min="10593" max="10593" width="12.42578125" style="5" customWidth="1"/>
    <col min="10594" max="10594" width="13" style="5" customWidth="1"/>
    <col min="10595" max="10595" width="12.5703125" style="5" customWidth="1"/>
    <col min="10596" max="10609" width="11.7109375" style="5" customWidth="1"/>
    <col min="10610" max="10610" width="12.28515625" style="5" customWidth="1"/>
    <col min="10611" max="10611" width="11.7109375" style="5" customWidth="1"/>
    <col min="10612" max="10612" width="12.85546875" style="5" customWidth="1"/>
    <col min="10613" max="10613" width="11.7109375" style="5" customWidth="1"/>
    <col min="10614" max="10614" width="12.7109375" style="5" customWidth="1"/>
    <col min="10615" max="10615" width="11.7109375" style="5" customWidth="1"/>
    <col min="10616" max="10616" width="13" style="5" customWidth="1"/>
    <col min="10617" max="10628" width="11.7109375" style="5" customWidth="1"/>
    <col min="10629" max="10629" width="12.5703125" style="5" customWidth="1"/>
    <col min="10630" max="10630" width="11.7109375" style="5" customWidth="1"/>
    <col min="10631" max="10631" width="13" style="5" customWidth="1"/>
    <col min="10632" max="10637" width="11.7109375" style="5" customWidth="1"/>
    <col min="10638" max="10638" width="13.7109375" style="5" customWidth="1"/>
    <col min="10639" max="10639" width="13.140625" style="5" customWidth="1"/>
    <col min="10640" max="10643" width="13" style="5" customWidth="1"/>
    <col min="10644" max="10650" width="11.7109375" style="5" customWidth="1"/>
    <col min="10651" max="10651" width="10.85546875" style="5" customWidth="1"/>
    <col min="10652" max="10652" width="11.7109375" style="5" customWidth="1"/>
    <col min="10653" max="10655" width="22.7109375" style="5" customWidth="1"/>
    <col min="10656" max="10658" width="20.7109375" style="5" customWidth="1"/>
    <col min="10659" max="10846" width="8.85546875" style="5"/>
    <col min="10847" max="10847" width="6.140625" style="5" customWidth="1"/>
    <col min="10848" max="10848" width="20.28515625" style="5" customWidth="1"/>
    <col min="10849" max="10849" width="12.42578125" style="5" customWidth="1"/>
    <col min="10850" max="10850" width="13" style="5" customWidth="1"/>
    <col min="10851" max="10851" width="12.5703125" style="5" customWidth="1"/>
    <col min="10852" max="10865" width="11.7109375" style="5" customWidth="1"/>
    <col min="10866" max="10866" width="12.28515625" style="5" customWidth="1"/>
    <col min="10867" max="10867" width="11.7109375" style="5" customWidth="1"/>
    <col min="10868" max="10868" width="12.85546875" style="5" customWidth="1"/>
    <col min="10869" max="10869" width="11.7109375" style="5" customWidth="1"/>
    <col min="10870" max="10870" width="12.7109375" style="5" customWidth="1"/>
    <col min="10871" max="10871" width="11.7109375" style="5" customWidth="1"/>
    <col min="10872" max="10872" width="13" style="5" customWidth="1"/>
    <col min="10873" max="10884" width="11.7109375" style="5" customWidth="1"/>
    <col min="10885" max="10885" width="12.5703125" style="5" customWidth="1"/>
    <col min="10886" max="10886" width="11.7109375" style="5" customWidth="1"/>
    <col min="10887" max="10887" width="13" style="5" customWidth="1"/>
    <col min="10888" max="10893" width="11.7109375" style="5" customWidth="1"/>
    <col min="10894" max="10894" width="13.7109375" style="5" customWidth="1"/>
    <col min="10895" max="10895" width="13.140625" style="5" customWidth="1"/>
    <col min="10896" max="10899" width="13" style="5" customWidth="1"/>
    <col min="10900" max="10906" width="11.7109375" style="5" customWidth="1"/>
    <col min="10907" max="10907" width="10.85546875" style="5" customWidth="1"/>
    <col min="10908" max="10908" width="11.7109375" style="5" customWidth="1"/>
    <col min="10909" max="10911" width="22.7109375" style="5" customWidth="1"/>
    <col min="10912" max="10914" width="20.7109375" style="5" customWidth="1"/>
    <col min="10915" max="11102" width="8.85546875" style="5"/>
    <col min="11103" max="11103" width="6.140625" style="5" customWidth="1"/>
    <col min="11104" max="11104" width="20.28515625" style="5" customWidth="1"/>
    <col min="11105" max="11105" width="12.42578125" style="5" customWidth="1"/>
    <col min="11106" max="11106" width="13" style="5" customWidth="1"/>
    <col min="11107" max="11107" width="12.5703125" style="5" customWidth="1"/>
    <col min="11108" max="11121" width="11.7109375" style="5" customWidth="1"/>
    <col min="11122" max="11122" width="12.28515625" style="5" customWidth="1"/>
    <col min="11123" max="11123" width="11.7109375" style="5" customWidth="1"/>
    <col min="11124" max="11124" width="12.85546875" style="5" customWidth="1"/>
    <col min="11125" max="11125" width="11.7109375" style="5" customWidth="1"/>
    <col min="11126" max="11126" width="12.7109375" style="5" customWidth="1"/>
    <col min="11127" max="11127" width="11.7109375" style="5" customWidth="1"/>
    <col min="11128" max="11128" width="13" style="5" customWidth="1"/>
    <col min="11129" max="11140" width="11.7109375" style="5" customWidth="1"/>
    <col min="11141" max="11141" width="12.5703125" style="5" customWidth="1"/>
    <col min="11142" max="11142" width="11.7109375" style="5" customWidth="1"/>
    <col min="11143" max="11143" width="13" style="5" customWidth="1"/>
    <col min="11144" max="11149" width="11.7109375" style="5" customWidth="1"/>
    <col min="11150" max="11150" width="13.7109375" style="5" customWidth="1"/>
    <col min="11151" max="11151" width="13.140625" style="5" customWidth="1"/>
    <col min="11152" max="11155" width="13" style="5" customWidth="1"/>
    <col min="11156" max="11162" width="11.7109375" style="5" customWidth="1"/>
    <col min="11163" max="11163" width="10.85546875" style="5" customWidth="1"/>
    <col min="11164" max="11164" width="11.7109375" style="5" customWidth="1"/>
    <col min="11165" max="11167" width="22.7109375" style="5" customWidth="1"/>
    <col min="11168" max="11170" width="20.7109375" style="5" customWidth="1"/>
    <col min="11171" max="11358" width="8.85546875" style="5"/>
    <col min="11359" max="11359" width="6.140625" style="5" customWidth="1"/>
    <col min="11360" max="11360" width="20.28515625" style="5" customWidth="1"/>
    <col min="11361" max="11361" width="12.42578125" style="5" customWidth="1"/>
    <col min="11362" max="11362" width="13" style="5" customWidth="1"/>
    <col min="11363" max="11363" width="12.5703125" style="5" customWidth="1"/>
    <col min="11364" max="11377" width="11.7109375" style="5" customWidth="1"/>
    <col min="11378" max="11378" width="12.28515625" style="5" customWidth="1"/>
    <col min="11379" max="11379" width="11.7109375" style="5" customWidth="1"/>
    <col min="11380" max="11380" width="12.85546875" style="5" customWidth="1"/>
    <col min="11381" max="11381" width="11.7109375" style="5" customWidth="1"/>
    <col min="11382" max="11382" width="12.7109375" style="5" customWidth="1"/>
    <col min="11383" max="11383" width="11.7109375" style="5" customWidth="1"/>
    <col min="11384" max="11384" width="13" style="5" customWidth="1"/>
    <col min="11385" max="11396" width="11.7109375" style="5" customWidth="1"/>
    <col min="11397" max="11397" width="12.5703125" style="5" customWidth="1"/>
    <col min="11398" max="11398" width="11.7109375" style="5" customWidth="1"/>
    <col min="11399" max="11399" width="13" style="5" customWidth="1"/>
    <col min="11400" max="11405" width="11.7109375" style="5" customWidth="1"/>
    <col min="11406" max="11406" width="13.7109375" style="5" customWidth="1"/>
    <col min="11407" max="11407" width="13.140625" style="5" customWidth="1"/>
    <col min="11408" max="11411" width="13" style="5" customWidth="1"/>
    <col min="11412" max="11418" width="11.7109375" style="5" customWidth="1"/>
    <col min="11419" max="11419" width="10.85546875" style="5" customWidth="1"/>
    <col min="11420" max="11420" width="11.7109375" style="5" customWidth="1"/>
    <col min="11421" max="11423" width="22.7109375" style="5" customWidth="1"/>
    <col min="11424" max="11426" width="20.7109375" style="5" customWidth="1"/>
    <col min="11427" max="11614" width="8.85546875" style="5"/>
    <col min="11615" max="11615" width="6.140625" style="5" customWidth="1"/>
    <col min="11616" max="11616" width="20.28515625" style="5" customWidth="1"/>
    <col min="11617" max="11617" width="12.42578125" style="5" customWidth="1"/>
    <col min="11618" max="11618" width="13" style="5" customWidth="1"/>
    <col min="11619" max="11619" width="12.5703125" style="5" customWidth="1"/>
    <col min="11620" max="11633" width="11.7109375" style="5" customWidth="1"/>
    <col min="11634" max="11634" width="12.28515625" style="5" customWidth="1"/>
    <col min="11635" max="11635" width="11.7109375" style="5" customWidth="1"/>
    <col min="11636" max="11636" width="12.85546875" style="5" customWidth="1"/>
    <col min="11637" max="11637" width="11.7109375" style="5" customWidth="1"/>
    <col min="11638" max="11638" width="12.7109375" style="5" customWidth="1"/>
    <col min="11639" max="11639" width="11.7109375" style="5" customWidth="1"/>
    <col min="11640" max="11640" width="13" style="5" customWidth="1"/>
    <col min="11641" max="11652" width="11.7109375" style="5" customWidth="1"/>
    <col min="11653" max="11653" width="12.5703125" style="5" customWidth="1"/>
    <col min="11654" max="11654" width="11.7109375" style="5" customWidth="1"/>
    <col min="11655" max="11655" width="13" style="5" customWidth="1"/>
    <col min="11656" max="11661" width="11.7109375" style="5" customWidth="1"/>
    <col min="11662" max="11662" width="13.7109375" style="5" customWidth="1"/>
    <col min="11663" max="11663" width="13.140625" style="5" customWidth="1"/>
    <col min="11664" max="11667" width="13" style="5" customWidth="1"/>
    <col min="11668" max="11674" width="11.7109375" style="5" customWidth="1"/>
    <col min="11675" max="11675" width="10.85546875" style="5" customWidth="1"/>
    <col min="11676" max="11676" width="11.7109375" style="5" customWidth="1"/>
    <col min="11677" max="11679" width="22.7109375" style="5" customWidth="1"/>
    <col min="11680" max="11682" width="20.7109375" style="5" customWidth="1"/>
    <col min="11683" max="11870" width="8.85546875" style="5"/>
    <col min="11871" max="11871" width="6.140625" style="5" customWidth="1"/>
    <col min="11872" max="11872" width="20.28515625" style="5" customWidth="1"/>
    <col min="11873" max="11873" width="12.42578125" style="5" customWidth="1"/>
    <col min="11874" max="11874" width="13" style="5" customWidth="1"/>
    <col min="11875" max="11875" width="12.5703125" style="5" customWidth="1"/>
    <col min="11876" max="11889" width="11.7109375" style="5" customWidth="1"/>
    <col min="11890" max="11890" width="12.28515625" style="5" customWidth="1"/>
    <col min="11891" max="11891" width="11.7109375" style="5" customWidth="1"/>
    <col min="11892" max="11892" width="12.85546875" style="5" customWidth="1"/>
    <col min="11893" max="11893" width="11.7109375" style="5" customWidth="1"/>
    <col min="11894" max="11894" width="12.7109375" style="5" customWidth="1"/>
    <col min="11895" max="11895" width="11.7109375" style="5" customWidth="1"/>
    <col min="11896" max="11896" width="13" style="5" customWidth="1"/>
    <col min="11897" max="11908" width="11.7109375" style="5" customWidth="1"/>
    <col min="11909" max="11909" width="12.5703125" style="5" customWidth="1"/>
    <col min="11910" max="11910" width="11.7109375" style="5" customWidth="1"/>
    <col min="11911" max="11911" width="13" style="5" customWidth="1"/>
    <col min="11912" max="11917" width="11.7109375" style="5" customWidth="1"/>
    <col min="11918" max="11918" width="13.7109375" style="5" customWidth="1"/>
    <col min="11919" max="11919" width="13.140625" style="5" customWidth="1"/>
    <col min="11920" max="11923" width="13" style="5" customWidth="1"/>
    <col min="11924" max="11930" width="11.7109375" style="5" customWidth="1"/>
    <col min="11931" max="11931" width="10.85546875" style="5" customWidth="1"/>
    <col min="11932" max="11932" width="11.7109375" style="5" customWidth="1"/>
    <col min="11933" max="11935" width="22.7109375" style="5" customWidth="1"/>
    <col min="11936" max="11938" width="20.7109375" style="5" customWidth="1"/>
    <col min="11939" max="12126" width="8.85546875" style="5"/>
    <col min="12127" max="12127" width="6.140625" style="5" customWidth="1"/>
    <col min="12128" max="12128" width="20.28515625" style="5" customWidth="1"/>
    <col min="12129" max="12129" width="12.42578125" style="5" customWidth="1"/>
    <col min="12130" max="12130" width="13" style="5" customWidth="1"/>
    <col min="12131" max="12131" width="12.5703125" style="5" customWidth="1"/>
    <col min="12132" max="12145" width="11.7109375" style="5" customWidth="1"/>
    <col min="12146" max="12146" width="12.28515625" style="5" customWidth="1"/>
    <col min="12147" max="12147" width="11.7109375" style="5" customWidth="1"/>
    <col min="12148" max="12148" width="12.85546875" style="5" customWidth="1"/>
    <col min="12149" max="12149" width="11.7109375" style="5" customWidth="1"/>
    <col min="12150" max="12150" width="12.7109375" style="5" customWidth="1"/>
    <col min="12151" max="12151" width="11.7109375" style="5" customWidth="1"/>
    <col min="12152" max="12152" width="13" style="5" customWidth="1"/>
    <col min="12153" max="12164" width="11.7109375" style="5" customWidth="1"/>
    <col min="12165" max="12165" width="12.5703125" style="5" customWidth="1"/>
    <col min="12166" max="12166" width="11.7109375" style="5" customWidth="1"/>
    <col min="12167" max="12167" width="13" style="5" customWidth="1"/>
    <col min="12168" max="12173" width="11.7109375" style="5" customWidth="1"/>
    <col min="12174" max="12174" width="13.7109375" style="5" customWidth="1"/>
    <col min="12175" max="12175" width="13.140625" style="5" customWidth="1"/>
    <col min="12176" max="12179" width="13" style="5" customWidth="1"/>
    <col min="12180" max="12186" width="11.7109375" style="5" customWidth="1"/>
    <col min="12187" max="12187" width="10.85546875" style="5" customWidth="1"/>
    <col min="12188" max="12188" width="11.7109375" style="5" customWidth="1"/>
    <col min="12189" max="12191" width="22.7109375" style="5" customWidth="1"/>
    <col min="12192" max="12194" width="20.7109375" style="5" customWidth="1"/>
    <col min="12195" max="12382" width="8.85546875" style="5"/>
    <col min="12383" max="12383" width="6.140625" style="5" customWidth="1"/>
    <col min="12384" max="12384" width="20.28515625" style="5" customWidth="1"/>
    <col min="12385" max="12385" width="12.42578125" style="5" customWidth="1"/>
    <col min="12386" max="12386" width="13" style="5" customWidth="1"/>
    <col min="12387" max="12387" width="12.5703125" style="5" customWidth="1"/>
    <col min="12388" max="12401" width="11.7109375" style="5" customWidth="1"/>
    <col min="12402" max="12402" width="12.28515625" style="5" customWidth="1"/>
    <col min="12403" max="12403" width="11.7109375" style="5" customWidth="1"/>
    <col min="12404" max="12404" width="12.85546875" style="5" customWidth="1"/>
    <col min="12405" max="12405" width="11.7109375" style="5" customWidth="1"/>
    <col min="12406" max="12406" width="12.7109375" style="5" customWidth="1"/>
    <col min="12407" max="12407" width="11.7109375" style="5" customWidth="1"/>
    <col min="12408" max="12408" width="13" style="5" customWidth="1"/>
    <col min="12409" max="12420" width="11.7109375" style="5" customWidth="1"/>
    <col min="12421" max="12421" width="12.5703125" style="5" customWidth="1"/>
    <col min="12422" max="12422" width="11.7109375" style="5" customWidth="1"/>
    <col min="12423" max="12423" width="13" style="5" customWidth="1"/>
    <col min="12424" max="12429" width="11.7109375" style="5" customWidth="1"/>
    <col min="12430" max="12430" width="13.7109375" style="5" customWidth="1"/>
    <col min="12431" max="12431" width="13.140625" style="5" customWidth="1"/>
    <col min="12432" max="12435" width="13" style="5" customWidth="1"/>
    <col min="12436" max="12442" width="11.7109375" style="5" customWidth="1"/>
    <col min="12443" max="12443" width="10.85546875" style="5" customWidth="1"/>
    <col min="12444" max="12444" width="11.7109375" style="5" customWidth="1"/>
    <col min="12445" max="12447" width="22.7109375" style="5" customWidth="1"/>
    <col min="12448" max="12450" width="20.7109375" style="5" customWidth="1"/>
    <col min="12451" max="12638" width="8.85546875" style="5"/>
    <col min="12639" max="12639" width="6.140625" style="5" customWidth="1"/>
    <col min="12640" max="12640" width="20.28515625" style="5" customWidth="1"/>
    <col min="12641" max="12641" width="12.42578125" style="5" customWidth="1"/>
    <col min="12642" max="12642" width="13" style="5" customWidth="1"/>
    <col min="12643" max="12643" width="12.5703125" style="5" customWidth="1"/>
    <col min="12644" max="12657" width="11.7109375" style="5" customWidth="1"/>
    <col min="12658" max="12658" width="12.28515625" style="5" customWidth="1"/>
    <col min="12659" max="12659" width="11.7109375" style="5" customWidth="1"/>
    <col min="12660" max="12660" width="12.85546875" style="5" customWidth="1"/>
    <col min="12661" max="12661" width="11.7109375" style="5" customWidth="1"/>
    <col min="12662" max="12662" width="12.7109375" style="5" customWidth="1"/>
    <col min="12663" max="12663" width="11.7109375" style="5" customWidth="1"/>
    <col min="12664" max="12664" width="13" style="5" customWidth="1"/>
    <col min="12665" max="12676" width="11.7109375" style="5" customWidth="1"/>
    <col min="12677" max="12677" width="12.5703125" style="5" customWidth="1"/>
    <col min="12678" max="12678" width="11.7109375" style="5" customWidth="1"/>
    <col min="12679" max="12679" width="13" style="5" customWidth="1"/>
    <col min="12680" max="12685" width="11.7109375" style="5" customWidth="1"/>
    <col min="12686" max="12686" width="13.7109375" style="5" customWidth="1"/>
    <col min="12687" max="12687" width="13.140625" style="5" customWidth="1"/>
    <col min="12688" max="12691" width="13" style="5" customWidth="1"/>
    <col min="12692" max="12698" width="11.7109375" style="5" customWidth="1"/>
    <col min="12699" max="12699" width="10.85546875" style="5" customWidth="1"/>
    <col min="12700" max="12700" width="11.7109375" style="5" customWidth="1"/>
    <col min="12701" max="12703" width="22.7109375" style="5" customWidth="1"/>
    <col min="12704" max="12706" width="20.7109375" style="5" customWidth="1"/>
    <col min="12707" max="12894" width="8.85546875" style="5"/>
    <col min="12895" max="12895" width="6.140625" style="5" customWidth="1"/>
    <col min="12896" max="12896" width="20.28515625" style="5" customWidth="1"/>
    <col min="12897" max="12897" width="12.42578125" style="5" customWidth="1"/>
    <col min="12898" max="12898" width="13" style="5" customWidth="1"/>
    <col min="12899" max="12899" width="12.5703125" style="5" customWidth="1"/>
    <col min="12900" max="12913" width="11.7109375" style="5" customWidth="1"/>
    <col min="12914" max="12914" width="12.28515625" style="5" customWidth="1"/>
    <col min="12915" max="12915" width="11.7109375" style="5" customWidth="1"/>
    <col min="12916" max="12916" width="12.85546875" style="5" customWidth="1"/>
    <col min="12917" max="12917" width="11.7109375" style="5" customWidth="1"/>
    <col min="12918" max="12918" width="12.7109375" style="5" customWidth="1"/>
    <col min="12919" max="12919" width="11.7109375" style="5" customWidth="1"/>
    <col min="12920" max="12920" width="13" style="5" customWidth="1"/>
    <col min="12921" max="12932" width="11.7109375" style="5" customWidth="1"/>
    <col min="12933" max="12933" width="12.5703125" style="5" customWidth="1"/>
    <col min="12934" max="12934" width="11.7109375" style="5" customWidth="1"/>
    <col min="12935" max="12935" width="13" style="5" customWidth="1"/>
    <col min="12936" max="12941" width="11.7109375" style="5" customWidth="1"/>
    <col min="12942" max="12942" width="13.7109375" style="5" customWidth="1"/>
    <col min="12943" max="12943" width="13.140625" style="5" customWidth="1"/>
    <col min="12944" max="12947" width="13" style="5" customWidth="1"/>
    <col min="12948" max="12954" width="11.7109375" style="5" customWidth="1"/>
    <col min="12955" max="12955" width="10.85546875" style="5" customWidth="1"/>
    <col min="12956" max="12956" width="11.7109375" style="5" customWidth="1"/>
    <col min="12957" max="12959" width="22.7109375" style="5" customWidth="1"/>
    <col min="12960" max="12962" width="20.7109375" style="5" customWidth="1"/>
    <col min="12963" max="13150" width="8.85546875" style="5"/>
    <col min="13151" max="13151" width="6.140625" style="5" customWidth="1"/>
    <col min="13152" max="13152" width="20.28515625" style="5" customWidth="1"/>
    <col min="13153" max="13153" width="12.42578125" style="5" customWidth="1"/>
    <col min="13154" max="13154" width="13" style="5" customWidth="1"/>
    <col min="13155" max="13155" width="12.5703125" style="5" customWidth="1"/>
    <col min="13156" max="13169" width="11.7109375" style="5" customWidth="1"/>
    <col min="13170" max="13170" width="12.28515625" style="5" customWidth="1"/>
    <col min="13171" max="13171" width="11.7109375" style="5" customWidth="1"/>
    <col min="13172" max="13172" width="12.85546875" style="5" customWidth="1"/>
    <col min="13173" max="13173" width="11.7109375" style="5" customWidth="1"/>
    <col min="13174" max="13174" width="12.7109375" style="5" customWidth="1"/>
    <col min="13175" max="13175" width="11.7109375" style="5" customWidth="1"/>
    <col min="13176" max="13176" width="13" style="5" customWidth="1"/>
    <col min="13177" max="13188" width="11.7109375" style="5" customWidth="1"/>
    <col min="13189" max="13189" width="12.5703125" style="5" customWidth="1"/>
    <col min="13190" max="13190" width="11.7109375" style="5" customWidth="1"/>
    <col min="13191" max="13191" width="13" style="5" customWidth="1"/>
    <col min="13192" max="13197" width="11.7109375" style="5" customWidth="1"/>
    <col min="13198" max="13198" width="13.7109375" style="5" customWidth="1"/>
    <col min="13199" max="13199" width="13.140625" style="5" customWidth="1"/>
    <col min="13200" max="13203" width="13" style="5" customWidth="1"/>
    <col min="13204" max="13210" width="11.7109375" style="5" customWidth="1"/>
    <col min="13211" max="13211" width="10.85546875" style="5" customWidth="1"/>
    <col min="13212" max="13212" width="11.7109375" style="5" customWidth="1"/>
    <col min="13213" max="13215" width="22.7109375" style="5" customWidth="1"/>
    <col min="13216" max="13218" width="20.7109375" style="5" customWidth="1"/>
    <col min="13219" max="13406" width="8.85546875" style="5"/>
    <col min="13407" max="13407" width="6.140625" style="5" customWidth="1"/>
    <col min="13408" max="13408" width="20.28515625" style="5" customWidth="1"/>
    <col min="13409" max="13409" width="12.42578125" style="5" customWidth="1"/>
    <col min="13410" max="13410" width="13" style="5" customWidth="1"/>
    <col min="13411" max="13411" width="12.5703125" style="5" customWidth="1"/>
    <col min="13412" max="13425" width="11.7109375" style="5" customWidth="1"/>
    <col min="13426" max="13426" width="12.28515625" style="5" customWidth="1"/>
    <col min="13427" max="13427" width="11.7109375" style="5" customWidth="1"/>
    <col min="13428" max="13428" width="12.85546875" style="5" customWidth="1"/>
    <col min="13429" max="13429" width="11.7109375" style="5" customWidth="1"/>
    <col min="13430" max="13430" width="12.7109375" style="5" customWidth="1"/>
    <col min="13431" max="13431" width="11.7109375" style="5" customWidth="1"/>
    <col min="13432" max="13432" width="13" style="5" customWidth="1"/>
    <col min="13433" max="13444" width="11.7109375" style="5" customWidth="1"/>
    <col min="13445" max="13445" width="12.5703125" style="5" customWidth="1"/>
    <col min="13446" max="13446" width="11.7109375" style="5" customWidth="1"/>
    <col min="13447" max="13447" width="13" style="5" customWidth="1"/>
    <col min="13448" max="13453" width="11.7109375" style="5" customWidth="1"/>
    <col min="13454" max="13454" width="13.7109375" style="5" customWidth="1"/>
    <col min="13455" max="13455" width="13.140625" style="5" customWidth="1"/>
    <col min="13456" max="13459" width="13" style="5" customWidth="1"/>
    <col min="13460" max="13466" width="11.7109375" style="5" customWidth="1"/>
    <col min="13467" max="13467" width="10.85546875" style="5" customWidth="1"/>
    <col min="13468" max="13468" width="11.7109375" style="5" customWidth="1"/>
    <col min="13469" max="13471" width="22.7109375" style="5" customWidth="1"/>
    <col min="13472" max="13474" width="20.7109375" style="5" customWidth="1"/>
    <col min="13475" max="13662" width="8.85546875" style="5"/>
    <col min="13663" max="13663" width="6.140625" style="5" customWidth="1"/>
    <col min="13664" max="13664" width="20.28515625" style="5" customWidth="1"/>
    <col min="13665" max="13665" width="12.42578125" style="5" customWidth="1"/>
    <col min="13666" max="13666" width="13" style="5" customWidth="1"/>
    <col min="13667" max="13667" width="12.5703125" style="5" customWidth="1"/>
    <col min="13668" max="13681" width="11.7109375" style="5" customWidth="1"/>
    <col min="13682" max="13682" width="12.28515625" style="5" customWidth="1"/>
    <col min="13683" max="13683" width="11.7109375" style="5" customWidth="1"/>
    <col min="13684" max="13684" width="12.85546875" style="5" customWidth="1"/>
    <col min="13685" max="13685" width="11.7109375" style="5" customWidth="1"/>
    <col min="13686" max="13686" width="12.7109375" style="5" customWidth="1"/>
    <col min="13687" max="13687" width="11.7109375" style="5" customWidth="1"/>
    <col min="13688" max="13688" width="13" style="5" customWidth="1"/>
    <col min="13689" max="13700" width="11.7109375" style="5" customWidth="1"/>
    <col min="13701" max="13701" width="12.5703125" style="5" customWidth="1"/>
    <col min="13702" max="13702" width="11.7109375" style="5" customWidth="1"/>
    <col min="13703" max="13703" width="13" style="5" customWidth="1"/>
    <col min="13704" max="13709" width="11.7109375" style="5" customWidth="1"/>
    <col min="13710" max="13710" width="13.7109375" style="5" customWidth="1"/>
    <col min="13711" max="13711" width="13.140625" style="5" customWidth="1"/>
    <col min="13712" max="13715" width="13" style="5" customWidth="1"/>
    <col min="13716" max="13722" width="11.7109375" style="5" customWidth="1"/>
    <col min="13723" max="13723" width="10.85546875" style="5" customWidth="1"/>
    <col min="13724" max="13724" width="11.7109375" style="5" customWidth="1"/>
    <col min="13725" max="13727" width="22.7109375" style="5" customWidth="1"/>
    <col min="13728" max="13730" width="20.7109375" style="5" customWidth="1"/>
    <col min="13731" max="13918" width="8.85546875" style="5"/>
    <col min="13919" max="13919" width="6.140625" style="5" customWidth="1"/>
    <col min="13920" max="13920" width="20.28515625" style="5" customWidth="1"/>
    <col min="13921" max="13921" width="12.42578125" style="5" customWidth="1"/>
    <col min="13922" max="13922" width="13" style="5" customWidth="1"/>
    <col min="13923" max="13923" width="12.5703125" style="5" customWidth="1"/>
    <col min="13924" max="13937" width="11.7109375" style="5" customWidth="1"/>
    <col min="13938" max="13938" width="12.28515625" style="5" customWidth="1"/>
    <col min="13939" max="13939" width="11.7109375" style="5" customWidth="1"/>
    <col min="13940" max="13940" width="12.85546875" style="5" customWidth="1"/>
    <col min="13941" max="13941" width="11.7109375" style="5" customWidth="1"/>
    <col min="13942" max="13942" width="12.7109375" style="5" customWidth="1"/>
    <col min="13943" max="13943" width="11.7109375" style="5" customWidth="1"/>
    <col min="13944" max="13944" width="13" style="5" customWidth="1"/>
    <col min="13945" max="13956" width="11.7109375" style="5" customWidth="1"/>
    <col min="13957" max="13957" width="12.5703125" style="5" customWidth="1"/>
    <col min="13958" max="13958" width="11.7109375" style="5" customWidth="1"/>
    <col min="13959" max="13959" width="13" style="5" customWidth="1"/>
    <col min="13960" max="13965" width="11.7109375" style="5" customWidth="1"/>
    <col min="13966" max="13966" width="13.7109375" style="5" customWidth="1"/>
    <col min="13967" max="13967" width="13.140625" style="5" customWidth="1"/>
    <col min="13968" max="13971" width="13" style="5" customWidth="1"/>
    <col min="13972" max="13978" width="11.7109375" style="5" customWidth="1"/>
    <col min="13979" max="13979" width="10.85546875" style="5" customWidth="1"/>
    <col min="13980" max="13980" width="11.7109375" style="5" customWidth="1"/>
    <col min="13981" max="13983" width="22.7109375" style="5" customWidth="1"/>
    <col min="13984" max="13986" width="20.7109375" style="5" customWidth="1"/>
    <col min="13987" max="14174" width="8.85546875" style="5"/>
    <col min="14175" max="14175" width="6.140625" style="5" customWidth="1"/>
    <col min="14176" max="14176" width="20.28515625" style="5" customWidth="1"/>
    <col min="14177" max="14177" width="12.42578125" style="5" customWidth="1"/>
    <col min="14178" max="14178" width="13" style="5" customWidth="1"/>
    <col min="14179" max="14179" width="12.5703125" style="5" customWidth="1"/>
    <col min="14180" max="14193" width="11.7109375" style="5" customWidth="1"/>
    <col min="14194" max="14194" width="12.28515625" style="5" customWidth="1"/>
    <col min="14195" max="14195" width="11.7109375" style="5" customWidth="1"/>
    <col min="14196" max="14196" width="12.85546875" style="5" customWidth="1"/>
    <col min="14197" max="14197" width="11.7109375" style="5" customWidth="1"/>
    <col min="14198" max="14198" width="12.7109375" style="5" customWidth="1"/>
    <col min="14199" max="14199" width="11.7109375" style="5" customWidth="1"/>
    <col min="14200" max="14200" width="13" style="5" customWidth="1"/>
    <col min="14201" max="14212" width="11.7109375" style="5" customWidth="1"/>
    <col min="14213" max="14213" width="12.5703125" style="5" customWidth="1"/>
    <col min="14214" max="14214" width="11.7109375" style="5" customWidth="1"/>
    <col min="14215" max="14215" width="13" style="5" customWidth="1"/>
    <col min="14216" max="14221" width="11.7109375" style="5" customWidth="1"/>
    <col min="14222" max="14222" width="13.7109375" style="5" customWidth="1"/>
    <col min="14223" max="14223" width="13.140625" style="5" customWidth="1"/>
    <col min="14224" max="14227" width="13" style="5" customWidth="1"/>
    <col min="14228" max="14234" width="11.7109375" style="5" customWidth="1"/>
    <col min="14235" max="14235" width="10.85546875" style="5" customWidth="1"/>
    <col min="14236" max="14236" width="11.7109375" style="5" customWidth="1"/>
    <col min="14237" max="14239" width="22.7109375" style="5" customWidth="1"/>
    <col min="14240" max="14242" width="20.7109375" style="5" customWidth="1"/>
    <col min="14243" max="14430" width="8.85546875" style="5"/>
    <col min="14431" max="14431" width="6.140625" style="5" customWidth="1"/>
    <col min="14432" max="14432" width="20.28515625" style="5" customWidth="1"/>
    <col min="14433" max="14433" width="12.42578125" style="5" customWidth="1"/>
    <col min="14434" max="14434" width="13" style="5" customWidth="1"/>
    <col min="14435" max="14435" width="12.5703125" style="5" customWidth="1"/>
    <col min="14436" max="14449" width="11.7109375" style="5" customWidth="1"/>
    <col min="14450" max="14450" width="12.28515625" style="5" customWidth="1"/>
    <col min="14451" max="14451" width="11.7109375" style="5" customWidth="1"/>
    <col min="14452" max="14452" width="12.85546875" style="5" customWidth="1"/>
    <col min="14453" max="14453" width="11.7109375" style="5" customWidth="1"/>
    <col min="14454" max="14454" width="12.7109375" style="5" customWidth="1"/>
    <col min="14455" max="14455" width="11.7109375" style="5" customWidth="1"/>
    <col min="14456" max="14456" width="13" style="5" customWidth="1"/>
    <col min="14457" max="14468" width="11.7109375" style="5" customWidth="1"/>
    <col min="14469" max="14469" width="12.5703125" style="5" customWidth="1"/>
    <col min="14470" max="14470" width="11.7109375" style="5" customWidth="1"/>
    <col min="14471" max="14471" width="13" style="5" customWidth="1"/>
    <col min="14472" max="14477" width="11.7109375" style="5" customWidth="1"/>
    <col min="14478" max="14478" width="13.7109375" style="5" customWidth="1"/>
    <col min="14479" max="14479" width="13.140625" style="5" customWidth="1"/>
    <col min="14480" max="14483" width="13" style="5" customWidth="1"/>
    <col min="14484" max="14490" width="11.7109375" style="5" customWidth="1"/>
    <col min="14491" max="14491" width="10.85546875" style="5" customWidth="1"/>
    <col min="14492" max="14492" width="11.7109375" style="5" customWidth="1"/>
    <col min="14493" max="14495" width="22.7109375" style="5" customWidth="1"/>
    <col min="14496" max="14498" width="20.7109375" style="5" customWidth="1"/>
    <col min="14499" max="14686" width="8.85546875" style="5"/>
    <col min="14687" max="14687" width="6.140625" style="5" customWidth="1"/>
    <col min="14688" max="14688" width="20.28515625" style="5" customWidth="1"/>
    <col min="14689" max="14689" width="12.42578125" style="5" customWidth="1"/>
    <col min="14690" max="14690" width="13" style="5" customWidth="1"/>
    <col min="14691" max="14691" width="12.5703125" style="5" customWidth="1"/>
    <col min="14692" max="14705" width="11.7109375" style="5" customWidth="1"/>
    <col min="14706" max="14706" width="12.28515625" style="5" customWidth="1"/>
    <col min="14707" max="14707" width="11.7109375" style="5" customWidth="1"/>
    <col min="14708" max="14708" width="12.85546875" style="5" customWidth="1"/>
    <col min="14709" max="14709" width="11.7109375" style="5" customWidth="1"/>
    <col min="14710" max="14710" width="12.7109375" style="5" customWidth="1"/>
    <col min="14711" max="14711" width="11.7109375" style="5" customWidth="1"/>
    <col min="14712" max="14712" width="13" style="5" customWidth="1"/>
    <col min="14713" max="14724" width="11.7109375" style="5" customWidth="1"/>
    <col min="14725" max="14725" width="12.5703125" style="5" customWidth="1"/>
    <col min="14726" max="14726" width="11.7109375" style="5" customWidth="1"/>
    <col min="14727" max="14727" width="13" style="5" customWidth="1"/>
    <col min="14728" max="14733" width="11.7109375" style="5" customWidth="1"/>
    <col min="14734" max="14734" width="13.7109375" style="5" customWidth="1"/>
    <col min="14735" max="14735" width="13.140625" style="5" customWidth="1"/>
    <col min="14736" max="14739" width="13" style="5" customWidth="1"/>
    <col min="14740" max="14746" width="11.7109375" style="5" customWidth="1"/>
    <col min="14747" max="14747" width="10.85546875" style="5" customWidth="1"/>
    <col min="14748" max="14748" width="11.7109375" style="5" customWidth="1"/>
    <col min="14749" max="14751" width="22.7109375" style="5" customWidth="1"/>
    <col min="14752" max="14754" width="20.7109375" style="5" customWidth="1"/>
    <col min="14755" max="14942" width="8.85546875" style="5"/>
    <col min="14943" max="14943" width="6.140625" style="5" customWidth="1"/>
    <col min="14944" max="14944" width="20.28515625" style="5" customWidth="1"/>
    <col min="14945" max="14945" width="12.42578125" style="5" customWidth="1"/>
    <col min="14946" max="14946" width="13" style="5" customWidth="1"/>
    <col min="14947" max="14947" width="12.5703125" style="5" customWidth="1"/>
    <col min="14948" max="14961" width="11.7109375" style="5" customWidth="1"/>
    <col min="14962" max="14962" width="12.28515625" style="5" customWidth="1"/>
    <col min="14963" max="14963" width="11.7109375" style="5" customWidth="1"/>
    <col min="14964" max="14964" width="12.85546875" style="5" customWidth="1"/>
    <col min="14965" max="14965" width="11.7109375" style="5" customWidth="1"/>
    <col min="14966" max="14966" width="12.7109375" style="5" customWidth="1"/>
    <col min="14967" max="14967" width="11.7109375" style="5" customWidth="1"/>
    <col min="14968" max="14968" width="13" style="5" customWidth="1"/>
    <col min="14969" max="14980" width="11.7109375" style="5" customWidth="1"/>
    <col min="14981" max="14981" width="12.5703125" style="5" customWidth="1"/>
    <col min="14982" max="14982" width="11.7109375" style="5" customWidth="1"/>
    <col min="14983" max="14983" width="13" style="5" customWidth="1"/>
    <col min="14984" max="14989" width="11.7109375" style="5" customWidth="1"/>
    <col min="14990" max="14990" width="13.7109375" style="5" customWidth="1"/>
    <col min="14991" max="14991" width="13.140625" style="5" customWidth="1"/>
    <col min="14992" max="14995" width="13" style="5" customWidth="1"/>
    <col min="14996" max="15002" width="11.7109375" style="5" customWidth="1"/>
    <col min="15003" max="15003" width="10.85546875" style="5" customWidth="1"/>
    <col min="15004" max="15004" width="11.7109375" style="5" customWidth="1"/>
    <col min="15005" max="15007" width="22.7109375" style="5" customWidth="1"/>
    <col min="15008" max="15010" width="20.7109375" style="5" customWidth="1"/>
    <col min="15011" max="15198" width="8.85546875" style="5"/>
    <col min="15199" max="15199" width="6.140625" style="5" customWidth="1"/>
    <col min="15200" max="15200" width="20.28515625" style="5" customWidth="1"/>
    <col min="15201" max="15201" width="12.42578125" style="5" customWidth="1"/>
    <col min="15202" max="15202" width="13" style="5" customWidth="1"/>
    <col min="15203" max="15203" width="12.5703125" style="5" customWidth="1"/>
    <col min="15204" max="15217" width="11.7109375" style="5" customWidth="1"/>
    <col min="15218" max="15218" width="12.28515625" style="5" customWidth="1"/>
    <col min="15219" max="15219" width="11.7109375" style="5" customWidth="1"/>
    <col min="15220" max="15220" width="12.85546875" style="5" customWidth="1"/>
    <col min="15221" max="15221" width="11.7109375" style="5" customWidth="1"/>
    <col min="15222" max="15222" width="12.7109375" style="5" customWidth="1"/>
    <col min="15223" max="15223" width="11.7109375" style="5" customWidth="1"/>
    <col min="15224" max="15224" width="13" style="5" customWidth="1"/>
    <col min="15225" max="15236" width="11.7109375" style="5" customWidth="1"/>
    <col min="15237" max="15237" width="12.5703125" style="5" customWidth="1"/>
    <col min="15238" max="15238" width="11.7109375" style="5" customWidth="1"/>
    <col min="15239" max="15239" width="13" style="5" customWidth="1"/>
    <col min="15240" max="15245" width="11.7109375" style="5" customWidth="1"/>
    <col min="15246" max="15246" width="13.7109375" style="5" customWidth="1"/>
    <col min="15247" max="15247" width="13.140625" style="5" customWidth="1"/>
    <col min="15248" max="15251" width="13" style="5" customWidth="1"/>
    <col min="15252" max="15258" width="11.7109375" style="5" customWidth="1"/>
    <col min="15259" max="15259" width="10.85546875" style="5" customWidth="1"/>
    <col min="15260" max="15260" width="11.7109375" style="5" customWidth="1"/>
    <col min="15261" max="15263" width="22.7109375" style="5" customWidth="1"/>
    <col min="15264" max="15266" width="20.7109375" style="5" customWidth="1"/>
    <col min="15267" max="15454" width="8.85546875" style="5"/>
    <col min="15455" max="15455" width="6.140625" style="5" customWidth="1"/>
    <col min="15456" max="15456" width="20.28515625" style="5" customWidth="1"/>
    <col min="15457" max="15457" width="12.42578125" style="5" customWidth="1"/>
    <col min="15458" max="15458" width="13" style="5" customWidth="1"/>
    <col min="15459" max="15459" width="12.5703125" style="5" customWidth="1"/>
    <col min="15460" max="15473" width="11.7109375" style="5" customWidth="1"/>
    <col min="15474" max="15474" width="12.28515625" style="5" customWidth="1"/>
    <col min="15475" max="15475" width="11.7109375" style="5" customWidth="1"/>
    <col min="15476" max="15476" width="12.85546875" style="5" customWidth="1"/>
    <col min="15477" max="15477" width="11.7109375" style="5" customWidth="1"/>
    <col min="15478" max="15478" width="12.7109375" style="5" customWidth="1"/>
    <col min="15479" max="15479" width="11.7109375" style="5" customWidth="1"/>
    <col min="15480" max="15480" width="13" style="5" customWidth="1"/>
    <col min="15481" max="15492" width="11.7109375" style="5" customWidth="1"/>
    <col min="15493" max="15493" width="12.5703125" style="5" customWidth="1"/>
    <col min="15494" max="15494" width="11.7109375" style="5" customWidth="1"/>
    <col min="15495" max="15495" width="13" style="5" customWidth="1"/>
    <col min="15496" max="15501" width="11.7109375" style="5" customWidth="1"/>
    <col min="15502" max="15502" width="13.7109375" style="5" customWidth="1"/>
    <col min="15503" max="15503" width="13.140625" style="5" customWidth="1"/>
    <col min="15504" max="15507" width="13" style="5" customWidth="1"/>
    <col min="15508" max="15514" width="11.7109375" style="5" customWidth="1"/>
    <col min="15515" max="15515" width="10.85546875" style="5" customWidth="1"/>
    <col min="15516" max="15516" width="11.7109375" style="5" customWidth="1"/>
    <col min="15517" max="15519" width="22.7109375" style="5" customWidth="1"/>
    <col min="15520" max="15522" width="20.7109375" style="5" customWidth="1"/>
    <col min="15523" max="15710" width="8.85546875" style="5"/>
    <col min="15711" max="15711" width="6.140625" style="5" customWidth="1"/>
    <col min="15712" max="15712" width="20.28515625" style="5" customWidth="1"/>
    <col min="15713" max="15713" width="12.42578125" style="5" customWidth="1"/>
    <col min="15714" max="15714" width="13" style="5" customWidth="1"/>
    <col min="15715" max="15715" width="12.5703125" style="5" customWidth="1"/>
    <col min="15716" max="15729" width="11.7109375" style="5" customWidth="1"/>
    <col min="15730" max="15730" width="12.28515625" style="5" customWidth="1"/>
    <col min="15731" max="15731" width="11.7109375" style="5" customWidth="1"/>
    <col min="15732" max="15732" width="12.85546875" style="5" customWidth="1"/>
    <col min="15733" max="15733" width="11.7109375" style="5" customWidth="1"/>
    <col min="15734" max="15734" width="12.7109375" style="5" customWidth="1"/>
    <col min="15735" max="15735" width="11.7109375" style="5" customWidth="1"/>
    <col min="15736" max="15736" width="13" style="5" customWidth="1"/>
    <col min="15737" max="15748" width="11.7109375" style="5" customWidth="1"/>
    <col min="15749" max="15749" width="12.5703125" style="5" customWidth="1"/>
    <col min="15750" max="15750" width="11.7109375" style="5" customWidth="1"/>
    <col min="15751" max="15751" width="13" style="5" customWidth="1"/>
    <col min="15752" max="15757" width="11.7109375" style="5" customWidth="1"/>
    <col min="15758" max="15758" width="13.7109375" style="5" customWidth="1"/>
    <col min="15759" max="15759" width="13.140625" style="5" customWidth="1"/>
    <col min="15760" max="15763" width="13" style="5" customWidth="1"/>
    <col min="15764" max="15770" width="11.7109375" style="5" customWidth="1"/>
    <col min="15771" max="15771" width="10.85546875" style="5" customWidth="1"/>
    <col min="15772" max="15772" width="11.7109375" style="5" customWidth="1"/>
    <col min="15773" max="15775" width="22.7109375" style="5" customWidth="1"/>
    <col min="15776" max="15778" width="20.7109375" style="5" customWidth="1"/>
    <col min="15779" max="15966" width="8.85546875" style="5"/>
    <col min="15967" max="15967" width="6.140625" style="5" customWidth="1"/>
    <col min="15968" max="15968" width="20.28515625" style="5" customWidth="1"/>
    <col min="15969" max="15969" width="12.42578125" style="5" customWidth="1"/>
    <col min="15970" max="15970" width="13" style="5" customWidth="1"/>
    <col min="15971" max="15971" width="12.5703125" style="5" customWidth="1"/>
    <col min="15972" max="15985" width="11.7109375" style="5" customWidth="1"/>
    <col min="15986" max="15986" width="12.28515625" style="5" customWidth="1"/>
    <col min="15987" max="15987" width="11.7109375" style="5" customWidth="1"/>
    <col min="15988" max="15988" width="12.85546875" style="5" customWidth="1"/>
    <col min="15989" max="15989" width="11.7109375" style="5" customWidth="1"/>
    <col min="15990" max="15990" width="12.7109375" style="5" customWidth="1"/>
    <col min="15991" max="15991" width="11.7109375" style="5" customWidth="1"/>
    <col min="15992" max="15992" width="13" style="5" customWidth="1"/>
    <col min="15993" max="16004" width="11.7109375" style="5" customWidth="1"/>
    <col min="16005" max="16005" width="12.5703125" style="5" customWidth="1"/>
    <col min="16006" max="16006" width="11.7109375" style="5" customWidth="1"/>
    <col min="16007" max="16007" width="13" style="5" customWidth="1"/>
    <col min="16008" max="16013" width="11.7109375" style="5" customWidth="1"/>
    <col min="16014" max="16014" width="13.7109375" style="5" customWidth="1"/>
    <col min="16015" max="16015" width="13.140625" style="5" customWidth="1"/>
    <col min="16016" max="16019" width="13" style="5" customWidth="1"/>
    <col min="16020" max="16026" width="11.7109375" style="5" customWidth="1"/>
    <col min="16027" max="16027" width="10.85546875" style="5" customWidth="1"/>
    <col min="16028" max="16028" width="11.7109375" style="5" customWidth="1"/>
    <col min="16029" max="16031" width="22.7109375" style="5" customWidth="1"/>
    <col min="16032" max="16034" width="20.7109375" style="5" customWidth="1"/>
    <col min="16035" max="16384" width="8.85546875" style="5"/>
  </cols>
  <sheetData>
    <row r="1" spans="1:29" s="31" customFormat="1" ht="24.75" customHeight="1">
      <c r="A1" s="29"/>
      <c r="B1" s="30"/>
      <c r="C1" s="142" t="s">
        <v>146</v>
      </c>
      <c r="D1" s="23"/>
      <c r="E1" s="23"/>
      <c r="F1" s="23"/>
      <c r="G1" s="23"/>
      <c r="H1" s="23"/>
      <c r="I1" s="23"/>
      <c r="J1" s="23"/>
      <c r="K1" s="23"/>
      <c r="L1" s="142" t="s">
        <v>147</v>
      </c>
      <c r="M1" s="23"/>
      <c r="N1" s="23"/>
      <c r="O1" s="23"/>
      <c r="P1" s="23"/>
      <c r="Q1" s="23"/>
      <c r="R1" s="23"/>
      <c r="S1" s="23"/>
      <c r="T1" s="23"/>
      <c r="U1" s="142" t="s">
        <v>148</v>
      </c>
      <c r="V1" s="23"/>
      <c r="W1" s="23"/>
      <c r="X1" s="23"/>
      <c r="Y1" s="23"/>
      <c r="Z1" s="23"/>
      <c r="AA1" s="23"/>
      <c r="AB1" s="23"/>
      <c r="AC1" s="23"/>
    </row>
    <row r="2" spans="1:29" ht="15.75" customHeight="1">
      <c r="A2" s="24"/>
      <c r="B2" s="24"/>
      <c r="C2" s="138" t="s">
        <v>81</v>
      </c>
      <c r="D2" s="32"/>
      <c r="E2" s="32"/>
      <c r="F2" s="32"/>
      <c r="G2" s="32"/>
      <c r="H2" s="32"/>
      <c r="I2" s="32"/>
      <c r="J2" s="32"/>
      <c r="K2" s="32"/>
      <c r="L2" s="138" t="s">
        <v>79</v>
      </c>
      <c r="M2" s="32"/>
      <c r="N2" s="32"/>
      <c r="O2" s="32"/>
      <c r="P2" s="32"/>
      <c r="Q2" s="32"/>
      <c r="R2" s="32"/>
      <c r="S2" s="32"/>
      <c r="T2" s="32"/>
      <c r="U2" s="138" t="s">
        <v>80</v>
      </c>
      <c r="V2" s="32"/>
      <c r="W2" s="32"/>
      <c r="X2" s="32"/>
      <c r="Y2" s="32"/>
      <c r="Z2" s="32"/>
      <c r="AA2" s="32"/>
      <c r="AB2" s="32"/>
      <c r="AC2" s="32"/>
    </row>
    <row r="3" spans="1:29" s="33" customFormat="1" ht="32.25" customHeight="1">
      <c r="A3" s="283" t="s">
        <v>67</v>
      </c>
      <c r="B3" s="283" t="s">
        <v>65</v>
      </c>
      <c r="C3" s="283" t="s">
        <v>97</v>
      </c>
      <c r="D3" s="285"/>
      <c r="E3" s="285"/>
      <c r="F3" s="283" t="s">
        <v>98</v>
      </c>
      <c r="G3" s="285"/>
      <c r="H3" s="285"/>
      <c r="I3" s="308" t="s">
        <v>99</v>
      </c>
      <c r="J3" s="309"/>
      <c r="K3" s="310"/>
      <c r="L3" s="283" t="s">
        <v>97</v>
      </c>
      <c r="M3" s="285"/>
      <c r="N3" s="285"/>
      <c r="O3" s="283" t="s">
        <v>98</v>
      </c>
      <c r="P3" s="285"/>
      <c r="Q3" s="285"/>
      <c r="R3" s="308" t="s">
        <v>99</v>
      </c>
      <c r="S3" s="309"/>
      <c r="T3" s="310"/>
      <c r="U3" s="283" t="s">
        <v>97</v>
      </c>
      <c r="V3" s="285"/>
      <c r="W3" s="285"/>
      <c r="X3" s="283" t="s">
        <v>98</v>
      </c>
      <c r="Y3" s="285"/>
      <c r="Z3" s="285"/>
      <c r="AA3" s="308" t="s">
        <v>99</v>
      </c>
      <c r="AB3" s="309"/>
      <c r="AC3" s="310"/>
    </row>
    <row r="4" spans="1:29" s="33" customFormat="1" ht="20.25" customHeight="1">
      <c r="A4" s="283"/>
      <c r="B4" s="283"/>
      <c r="C4" s="46" t="s">
        <v>13</v>
      </c>
      <c r="D4" s="46" t="s">
        <v>14</v>
      </c>
      <c r="E4" s="46" t="s">
        <v>15</v>
      </c>
      <c r="F4" s="46" t="s">
        <v>13</v>
      </c>
      <c r="G4" s="46" t="s">
        <v>14</v>
      </c>
      <c r="H4" s="46" t="s">
        <v>15</v>
      </c>
      <c r="I4" s="46" t="s">
        <v>13</v>
      </c>
      <c r="J4" s="46" t="s">
        <v>14</v>
      </c>
      <c r="K4" s="46" t="s">
        <v>15</v>
      </c>
      <c r="L4" s="46" t="s">
        <v>13</v>
      </c>
      <c r="M4" s="46" t="s">
        <v>14</v>
      </c>
      <c r="N4" s="46" t="s">
        <v>15</v>
      </c>
      <c r="O4" s="46" t="s">
        <v>13</v>
      </c>
      <c r="P4" s="46" t="s">
        <v>14</v>
      </c>
      <c r="Q4" s="46" t="s">
        <v>15</v>
      </c>
      <c r="R4" s="46" t="s">
        <v>13</v>
      </c>
      <c r="S4" s="46" t="s">
        <v>14</v>
      </c>
      <c r="T4" s="46" t="s">
        <v>15</v>
      </c>
      <c r="U4" s="46" t="s">
        <v>13</v>
      </c>
      <c r="V4" s="46" t="s">
        <v>14</v>
      </c>
      <c r="W4" s="46" t="s">
        <v>15</v>
      </c>
      <c r="X4" s="46" t="s">
        <v>13</v>
      </c>
      <c r="Y4" s="46" t="s">
        <v>14</v>
      </c>
      <c r="Z4" s="46" t="s">
        <v>15</v>
      </c>
      <c r="AA4" s="46" t="s">
        <v>13</v>
      </c>
      <c r="AB4" s="46" t="s">
        <v>14</v>
      </c>
      <c r="AC4" s="46" t="s">
        <v>15</v>
      </c>
    </row>
    <row r="5" spans="1:29" s="34" customFormat="1" ht="13.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3</v>
      </c>
      <c r="M5" s="22">
        <v>4</v>
      </c>
      <c r="N5" s="22">
        <v>5</v>
      </c>
      <c r="O5" s="22">
        <v>6</v>
      </c>
      <c r="P5" s="22">
        <v>7</v>
      </c>
      <c r="Q5" s="22">
        <v>8</v>
      </c>
      <c r="R5" s="22">
        <v>9</v>
      </c>
      <c r="S5" s="22">
        <v>10</v>
      </c>
      <c r="T5" s="22">
        <v>11</v>
      </c>
      <c r="U5" s="22">
        <v>3</v>
      </c>
      <c r="V5" s="22">
        <v>4</v>
      </c>
      <c r="W5" s="22">
        <v>5</v>
      </c>
      <c r="X5" s="22">
        <v>6</v>
      </c>
      <c r="Y5" s="22">
        <v>7</v>
      </c>
      <c r="Z5" s="22">
        <v>8</v>
      </c>
      <c r="AA5" s="22">
        <v>9</v>
      </c>
      <c r="AB5" s="22">
        <v>10</v>
      </c>
      <c r="AC5" s="22">
        <v>11</v>
      </c>
    </row>
    <row r="6" spans="1:29" s="35" customFormat="1" ht="18.75" customHeight="1">
      <c r="A6" s="25">
        <v>1</v>
      </c>
      <c r="B6" s="26" t="s">
        <v>16</v>
      </c>
      <c r="C6" s="45">
        <f>IF('Enrl-BackSeries'!C6-EnrlAll!R6&lt;0,"-",(1-EnrlAll!R6/'Enrl-BackSeries'!C6)*100)</f>
        <v>15.921248006452682</v>
      </c>
      <c r="D6" s="45">
        <f>IF('Enrl-BackSeries'!D6-EnrlAll!S6&lt;0,"-",(1-EnrlAll!S6/'Enrl-BackSeries'!D6)*100)</f>
        <v>15.267755314959619</v>
      </c>
      <c r="E6" s="45">
        <f>IF('Enrl-BackSeries'!E6-EnrlAll!T6&lt;0,"-",(1-EnrlAll!T6/'Enrl-BackSeries'!E6)*100)</f>
        <v>15.601878783826761</v>
      </c>
      <c r="F6" s="45">
        <f>IF('Enrl-BackSeries'!F6-EnrlAll!AD6&lt;0,"-",(1-EnrlAll!AD6/'Enrl-BackSeries'!F6)*100)</f>
        <v>28.597280434011562</v>
      </c>
      <c r="G6" s="45">
        <f>IF('Enrl-BackSeries'!G6-EnrlAll!AE6&lt;0,"-",(1-EnrlAll!AE6/'Enrl-BackSeries'!G6)*100)</f>
        <v>27.696714975217773</v>
      </c>
      <c r="H6" s="45">
        <f>IF('Enrl-BackSeries'!H6-EnrlAll!AF6&lt;0,"-",(1-EnrlAll!AF6/'Enrl-BackSeries'!H6)*100)</f>
        <v>28.155889407999513</v>
      </c>
      <c r="I6" s="45">
        <f>IF('Enrl-BackSeries'!I6-EnrlAll!AP6&lt;0,"-",(1-EnrlAll!AP6/'Enrl-BackSeries'!I6)*100)</f>
        <v>45.540106340753653</v>
      </c>
      <c r="J6" s="45">
        <f>IF('Enrl-BackSeries'!J6-EnrlAll!AQ6&lt;0,"-",(1-EnrlAll!AQ6/'Enrl-BackSeries'!J6)*100)</f>
        <v>46.27094632630466</v>
      </c>
      <c r="K6" s="45">
        <f>IF('Enrl-BackSeries'!K6-EnrlAll!AR6&lt;0,"-",(1-EnrlAll!AR6/'Enrl-BackSeries'!K6)*100)</f>
        <v>45.902283986360416</v>
      </c>
      <c r="L6" s="45">
        <f>IF('Enrl-BackSeries'!L6-EnrlSC!R6&lt;=0,"-",(1-EnrlSC!R6/'Enrl-BackSeries'!L6)*100)</f>
        <v>15.237196219051718</v>
      </c>
      <c r="M6" s="45">
        <f>IF('Enrl-BackSeries'!M6-EnrlSC!S6&lt;=0,"-",(1-EnrlSC!S6/'Enrl-BackSeries'!M6)*100)</f>
        <v>14.743005514284025</v>
      </c>
      <c r="N6" s="45">
        <f>IF('Enrl-BackSeries'!N6-EnrlSC!T6&lt;=0,"-",(1-EnrlSC!T6/'Enrl-BackSeries'!N6)*100)</f>
        <v>14.994345221792971</v>
      </c>
      <c r="O6" s="45">
        <f>IF('Enrl-BackSeries'!O6-EnrlSC!AD6&lt;=0,"-",(1-EnrlSC!AD6/'Enrl-BackSeries'!O6)*100)</f>
        <v>32.380667650501252</v>
      </c>
      <c r="P6" s="45">
        <f>IF('Enrl-BackSeries'!P6-EnrlSC!AE6&lt;=0,"-",(1-EnrlSC!AE6/'Enrl-BackSeries'!P6)*100)</f>
        <v>31.111257362861565</v>
      </c>
      <c r="Q6" s="45">
        <f>IF('Enrl-BackSeries'!Q6-EnrlSC!AF6&lt;=0,"-",(1-EnrlSC!AF6/'Enrl-BackSeries'!Q6)*100)</f>
        <v>31.756767684609244</v>
      </c>
      <c r="R6" s="45">
        <f>IF('Enrl-BackSeries'!R6-EnrlSC!AP6&lt;=0,"-",(1-EnrlSC!AP6/'Enrl-BackSeries'!R6)*100)</f>
        <v>49.065999237123847</v>
      </c>
      <c r="S6" s="45">
        <f>IF('Enrl-BackSeries'!S6-EnrlSC!AQ6&lt;=0,"-",(1-EnrlSC!AQ6/'Enrl-BackSeries'!S6)*100)</f>
        <v>48.413043247883166</v>
      </c>
      <c r="T6" s="45">
        <f>IF('Enrl-BackSeries'!T6-EnrlSC!AR6&lt;=0,"-",(1-EnrlSC!AR6/'Enrl-BackSeries'!T6)*100)</f>
        <v>48.74180165058786</v>
      </c>
      <c r="U6" s="45">
        <f>IF('Enrl-BackSeries'!U6-EnrlST!R6&lt;=0,"-",(1-EnrlST!R6/'Enrl-BackSeries'!U6)*100)</f>
        <v>32.856848326575495</v>
      </c>
      <c r="V6" s="45">
        <f>IF('Enrl-BackSeries'!V6-EnrlST!S6&lt;=0,"-",(1-EnrlST!S6/'Enrl-BackSeries'!V6)*100)</f>
        <v>36.573370569633248</v>
      </c>
      <c r="W6" s="45">
        <f>IF('Enrl-BackSeries'!W6-EnrlST!T6&lt;=0,"-",(1-EnrlST!T6/'Enrl-BackSeries'!W6)*100)</f>
        <v>34.673505543203866</v>
      </c>
      <c r="X6" s="45">
        <f>IF('Enrl-BackSeries'!X6-EnrlST!AD6&lt;=0,"-",(1-EnrlST!AD6/'Enrl-BackSeries'!X6)*100)</f>
        <v>54.440377576574839</v>
      </c>
      <c r="Y6" s="45">
        <f>IF('Enrl-BackSeries'!Y6-EnrlST!AE6&lt;=0,"-",(1-EnrlST!AE6/'Enrl-BackSeries'!Y6)*100)</f>
        <v>58.248308338459573</v>
      </c>
      <c r="Z6" s="45">
        <f>IF('Enrl-BackSeries'!Z6-EnrlST!AF6&lt;=0,"-",(1-EnrlST!AF6/'Enrl-BackSeries'!Z6)*100)</f>
        <v>56.301479926392453</v>
      </c>
      <c r="AA6" s="45">
        <f>IF('Enrl-BackSeries'!AA6-EnrlST!AP6&lt;=0,"-",(1-EnrlST!AP6/'Enrl-BackSeries'!AA6)*100)</f>
        <v>69.89766732346024</v>
      </c>
      <c r="AB6" s="45">
        <f>IF('Enrl-BackSeries'!AB6-EnrlST!AQ6&lt;=0,"-",(1-EnrlST!AQ6/'Enrl-BackSeries'!AB6)*100)</f>
        <v>73.502046892445108</v>
      </c>
      <c r="AC6" s="45">
        <f>IF('Enrl-BackSeries'!AC6-EnrlST!AR6&lt;=0,"-",(1-EnrlST!AR6/'Enrl-BackSeries'!AC6)*100)</f>
        <v>71.702894671092537</v>
      </c>
    </row>
    <row r="7" spans="1:29" s="35" customFormat="1" ht="18.75" customHeight="1">
      <c r="A7" s="25">
        <v>2</v>
      </c>
      <c r="B7" s="26" t="s">
        <v>17</v>
      </c>
      <c r="C7" s="45">
        <f>IF('Enrl-BackSeries'!C7-EnrlAll!R7&lt;0,"-",(1-EnrlAll!R7/'Enrl-BackSeries'!C7)*100)</f>
        <v>32.466332658209865</v>
      </c>
      <c r="D7" s="45">
        <f>IF('Enrl-BackSeries'!D7-EnrlAll!S7&lt;0,"-",(1-EnrlAll!S7/'Enrl-BackSeries'!D7)*100)</f>
        <v>29.035686547030203</v>
      </c>
      <c r="E7" s="45">
        <f>IF('Enrl-BackSeries'!E7-EnrlAll!T7&lt;0,"-",(1-EnrlAll!T7/'Enrl-BackSeries'!E7)*100)</f>
        <v>30.871003307607491</v>
      </c>
      <c r="F7" s="45">
        <f>IF('Enrl-BackSeries'!F7-EnrlAll!AD7&lt;0,"-",(1-EnrlAll!AD7/'Enrl-BackSeries'!F7)*100)</f>
        <v>52.416886910557793</v>
      </c>
      <c r="G7" s="45">
        <f>IF('Enrl-BackSeries'!G7-EnrlAll!AE7&lt;0,"-",(1-EnrlAll!AE7/'Enrl-BackSeries'!G7)*100)</f>
        <v>47.077697900166527</v>
      </c>
      <c r="H7" s="45">
        <f>IF('Enrl-BackSeries'!H7-EnrlAll!AF7&lt;0,"-",(1-EnrlAll!AF7/'Enrl-BackSeries'!H7)*100)</f>
        <v>49.954100080559037</v>
      </c>
      <c r="I7" s="45">
        <f>IF('Enrl-BackSeries'!I7-EnrlAll!AP7&lt;0,"-",(1-EnrlAll!AP7/'Enrl-BackSeries'!I7)*100)</f>
        <v>62.38641323756994</v>
      </c>
      <c r="J7" s="45">
        <f>IF('Enrl-BackSeries'!J7-EnrlAll!AQ7&lt;0,"-",(1-EnrlAll!AQ7/'Enrl-BackSeries'!J7)*100)</f>
        <v>60.299429657794676</v>
      </c>
      <c r="K7" s="45">
        <f>IF('Enrl-BackSeries'!K7-EnrlAll!AR7&lt;0,"-",(1-EnrlAll!AR7/'Enrl-BackSeries'!K7)*100)</f>
        <v>61.436820137972802</v>
      </c>
      <c r="L7" s="45" t="str">
        <f>IF('Enrl-BackSeries'!L7-EnrlSC!R7&lt;=0,"-",(1-EnrlSC!R7/'Enrl-BackSeries'!L7)*100)</f>
        <v>-</v>
      </c>
      <c r="M7" s="45" t="str">
        <f>IF('Enrl-BackSeries'!M7-EnrlSC!S7&lt;=0,"-",(1-EnrlSC!S7/'Enrl-BackSeries'!M7)*100)</f>
        <v>-</v>
      </c>
      <c r="N7" s="45" t="str">
        <f>IF('Enrl-BackSeries'!N7-EnrlSC!T7&lt;=0,"-",(1-EnrlSC!T7/'Enrl-BackSeries'!N7)*100)</f>
        <v>-</v>
      </c>
      <c r="O7" s="45">
        <f>IF('Enrl-BackSeries'!O7-EnrlSC!AD7&lt;=0,"-",(1-EnrlSC!AD7/'Enrl-BackSeries'!O7)*100)</f>
        <v>100</v>
      </c>
      <c r="P7" s="45">
        <f>IF('Enrl-BackSeries'!P7-EnrlSC!AE7&lt;=0,"-",(1-EnrlSC!AE7/'Enrl-BackSeries'!P7)*100)</f>
        <v>100</v>
      </c>
      <c r="Q7" s="45">
        <f>IF('Enrl-BackSeries'!Q7-EnrlSC!AF7&lt;=0,"-",(1-EnrlSC!AF7/'Enrl-BackSeries'!Q7)*100)</f>
        <v>100</v>
      </c>
      <c r="R7" s="45">
        <f>IF('Enrl-BackSeries'!R7-EnrlSC!AP7&lt;=0,"-",(1-EnrlSC!AP7/'Enrl-BackSeries'!R7)*100)</f>
        <v>100</v>
      </c>
      <c r="S7" s="45">
        <f>IF('Enrl-BackSeries'!S7-EnrlSC!AQ7&lt;=0,"-",(1-EnrlSC!AQ7/'Enrl-BackSeries'!S7)*100)</f>
        <v>100</v>
      </c>
      <c r="T7" s="45">
        <f>IF('Enrl-BackSeries'!T7-EnrlSC!AR7&lt;=0,"-",(1-EnrlSC!AR7/'Enrl-BackSeries'!T7)*100)</f>
        <v>100</v>
      </c>
      <c r="U7" s="45">
        <f>IF('Enrl-BackSeries'!U7-EnrlST!R7&lt;=0,"-",(1-EnrlST!R7/'Enrl-BackSeries'!U7)*100)</f>
        <v>36.081857898367446</v>
      </c>
      <c r="V7" s="45">
        <f>IF('Enrl-BackSeries'!V7-EnrlST!S7&lt;=0,"-",(1-EnrlST!S7/'Enrl-BackSeries'!V7)*100)</f>
        <v>32.083354825398459</v>
      </c>
      <c r="W7" s="45">
        <f>IF('Enrl-BackSeries'!W7-EnrlST!T7&lt;=0,"-",(1-EnrlST!T7/'Enrl-BackSeries'!W7)*100)</f>
        <v>34.197218710493047</v>
      </c>
      <c r="X7" s="45">
        <f>IF('Enrl-BackSeries'!X7-EnrlST!AD7&lt;=0,"-",(1-EnrlST!AD7/'Enrl-BackSeries'!X7)*100)</f>
        <v>53.416765053128692</v>
      </c>
      <c r="Y7" s="45">
        <f>IF('Enrl-BackSeries'!Y7-EnrlST!AE7&lt;=0,"-",(1-EnrlST!AE7/'Enrl-BackSeries'!Y7)*100)</f>
        <v>46.57106188270744</v>
      </c>
      <c r="Z7" s="45">
        <f>IF('Enrl-BackSeries'!Z7-EnrlST!AF7&lt;=0,"-",(1-EnrlST!AF7/'Enrl-BackSeries'!Z7)*100)</f>
        <v>50.278800900347861</v>
      </c>
      <c r="AA7" s="45">
        <f>IF('Enrl-BackSeries'!AA7-EnrlST!AP7&lt;=0,"-",(1-EnrlST!AP7/'Enrl-BackSeries'!AA7)*100)</f>
        <v>65.093406879325599</v>
      </c>
      <c r="AB7" s="45">
        <f>IF('Enrl-BackSeries'!AB7-EnrlST!AQ7&lt;=0,"-",(1-EnrlST!AQ7/'Enrl-BackSeries'!AB7)*100)</f>
        <v>60.640336238333646</v>
      </c>
      <c r="AC7" s="45">
        <f>IF('Enrl-BackSeries'!AC7-EnrlST!AR7&lt;=0,"-",(1-EnrlST!AR7/'Enrl-BackSeries'!AC7)*100)</f>
        <v>63.057972652277094</v>
      </c>
    </row>
    <row r="8" spans="1:29" s="35" customFormat="1" ht="18.75" customHeight="1">
      <c r="A8" s="25">
        <v>3</v>
      </c>
      <c r="B8" s="26" t="s">
        <v>48</v>
      </c>
      <c r="C8" s="45">
        <f>IF('Enrl-BackSeries'!C8-EnrlAll!R8&lt;0,"-",(1-EnrlAll!R8/'Enrl-BackSeries'!C8)*100)</f>
        <v>35.646484416778968</v>
      </c>
      <c r="D8" s="45">
        <f>IF('Enrl-BackSeries'!D8-EnrlAll!S8&lt;0,"-",(1-EnrlAll!S8/'Enrl-BackSeries'!D8)*100)</f>
        <v>28.661804419498406</v>
      </c>
      <c r="E8" s="45">
        <f>IF('Enrl-BackSeries'!E8-EnrlAll!T8&lt;0,"-",(1-EnrlAll!T8/'Enrl-BackSeries'!E8)*100)</f>
        <v>32.226454024298214</v>
      </c>
      <c r="F8" s="45">
        <f>IF('Enrl-BackSeries'!F8-EnrlAll!AD8&lt;0,"-",(1-EnrlAll!AD8/'Enrl-BackSeries'!F8)*100)</f>
        <v>46.433174572200173</v>
      </c>
      <c r="G8" s="45">
        <f>IF('Enrl-BackSeries'!G8-EnrlAll!AE8&lt;0,"-",(1-EnrlAll!AE8/'Enrl-BackSeries'!G8)*100)</f>
        <v>54.074959093267353</v>
      </c>
      <c r="H8" s="45">
        <f>IF('Enrl-BackSeries'!H8-EnrlAll!AF8&lt;0,"-",(1-EnrlAll!AF8/'Enrl-BackSeries'!H8)*100)</f>
        <v>50.187683593525009</v>
      </c>
      <c r="I8" s="45">
        <f>IF('Enrl-BackSeries'!I8-EnrlAll!AP8&lt;0,"-",(1-EnrlAll!AP8/'Enrl-BackSeries'!I8)*100)</f>
        <v>74.088571890804474</v>
      </c>
      <c r="J8" s="45">
        <f>IF('Enrl-BackSeries'!J8-EnrlAll!AQ8&lt;0,"-",(1-EnrlAll!AQ8/'Enrl-BackSeries'!J8)*100)</f>
        <v>70.70911635941269</v>
      </c>
      <c r="K8" s="45">
        <f>IF('Enrl-BackSeries'!K8-EnrlAll!AR8&lt;0,"-",(1-EnrlAll!AR8/'Enrl-BackSeries'!K8)*100)</f>
        <v>72.446875847725835</v>
      </c>
      <c r="L8" s="45">
        <f>IF('Enrl-BackSeries'!L8-EnrlSC!R8&lt;=0,"-",(1-EnrlSC!R8/'Enrl-BackSeries'!L8)*100)</f>
        <v>26.428171174093841</v>
      </c>
      <c r="M8" s="45">
        <f>IF('Enrl-BackSeries'!M8-EnrlSC!S8&lt;=0,"-",(1-EnrlSC!S8/'Enrl-BackSeries'!M8)*100)</f>
        <v>21.559505838134264</v>
      </c>
      <c r="N8" s="45">
        <f>IF('Enrl-BackSeries'!N8-EnrlSC!T8&lt;=0,"-",(1-EnrlSC!T8/'Enrl-BackSeries'!N8)*100)</f>
        <v>24.046951752403334</v>
      </c>
      <c r="O8" s="45">
        <f>IF('Enrl-BackSeries'!O8-EnrlSC!AD8&lt;=0,"-",(1-EnrlSC!AD8/'Enrl-BackSeries'!O8)*100)</f>
        <v>36.896350882524246</v>
      </c>
      <c r="P8" s="45">
        <f>IF('Enrl-BackSeries'!P8-EnrlSC!AE8&lt;=0,"-",(1-EnrlSC!AE8/'Enrl-BackSeries'!P8)*100)</f>
        <v>47.184840044771846</v>
      </c>
      <c r="Q8" s="45">
        <f>IF('Enrl-BackSeries'!Q8-EnrlSC!AF8&lt;=0,"-",(1-EnrlSC!AF8/'Enrl-BackSeries'!Q8)*100)</f>
        <v>41.969809770749364</v>
      </c>
      <c r="R8" s="45">
        <f>IF('Enrl-BackSeries'!R8-EnrlSC!AP8&lt;=0,"-",(1-EnrlSC!AP8/'Enrl-BackSeries'!R8)*100)</f>
        <v>70.438140003357404</v>
      </c>
      <c r="S8" s="45">
        <f>IF('Enrl-BackSeries'!S8-EnrlSC!AQ8&lt;=0,"-",(1-EnrlSC!AQ8/'Enrl-BackSeries'!S8)*100)</f>
        <v>65.752732709676124</v>
      </c>
      <c r="T8" s="45">
        <f>IF('Enrl-BackSeries'!T8-EnrlSC!AR8&lt;=0,"-",(1-EnrlSC!AR8/'Enrl-BackSeries'!T8)*100)</f>
        <v>68.18904816402538</v>
      </c>
      <c r="U8" s="45">
        <f>IF('Enrl-BackSeries'!U8-EnrlST!R8&lt;=0,"-",(1-EnrlST!R8/'Enrl-BackSeries'!U8)*100)</f>
        <v>33.132740885872224</v>
      </c>
      <c r="V8" s="45">
        <f>IF('Enrl-BackSeries'!V8-EnrlST!S8&lt;=0,"-",(1-EnrlST!S8/'Enrl-BackSeries'!V8)*100)</f>
        <v>29.390294334466084</v>
      </c>
      <c r="W8" s="45">
        <f>IF('Enrl-BackSeries'!W8-EnrlST!T8&lt;=0,"-",(1-EnrlST!T8/'Enrl-BackSeries'!W8)*100)</f>
        <v>31.287184898165478</v>
      </c>
      <c r="X8" s="45">
        <f>IF('Enrl-BackSeries'!X8-EnrlST!AD8&lt;=0,"-",(1-EnrlST!AD8/'Enrl-BackSeries'!X8)*100)</f>
        <v>45.406519997955044</v>
      </c>
      <c r="Y8" s="45">
        <f>IF('Enrl-BackSeries'!Y8-EnrlST!AE8&lt;=0,"-",(1-EnrlST!AE8/'Enrl-BackSeries'!Y8)*100)</f>
        <v>53.008481217672973</v>
      </c>
      <c r="Z8" s="45">
        <f>IF('Enrl-BackSeries'!Z8-EnrlST!AF8&lt;=0,"-",(1-EnrlST!AF8/'Enrl-BackSeries'!Z8)*100)</f>
        <v>49.166250366057426</v>
      </c>
      <c r="AA8" s="45">
        <f>IF('Enrl-BackSeries'!AA8-EnrlST!AP8&lt;=0,"-",(1-EnrlST!AP8/'Enrl-BackSeries'!AA8)*100)</f>
        <v>70.509651185082788</v>
      </c>
      <c r="AB8" s="45">
        <f>IF('Enrl-BackSeries'!AB8-EnrlST!AQ8&lt;=0,"-",(1-EnrlST!AQ8/'Enrl-BackSeries'!AB8)*100)</f>
        <v>68.989273018968817</v>
      </c>
      <c r="AC8" s="45">
        <f>IF('Enrl-BackSeries'!AC8-EnrlST!AR8&lt;=0,"-",(1-EnrlST!AR8/'Enrl-BackSeries'!AC8)*100)</f>
        <v>69.764081573886486</v>
      </c>
    </row>
    <row r="9" spans="1:29" s="35" customFormat="1" ht="18.75" customHeight="1">
      <c r="A9" s="25">
        <v>4</v>
      </c>
      <c r="B9" s="26" t="s">
        <v>18</v>
      </c>
      <c r="C9" s="45">
        <f>IF('Enrl-BackSeries'!C9-EnrlAll!R9&lt;0,"-",(1-EnrlAll!R9/'Enrl-BackSeries'!C9)*100)</f>
        <v>38.014183242045398</v>
      </c>
      <c r="D9" s="45">
        <f>IF('Enrl-BackSeries'!D9-EnrlAll!S9&lt;0,"-",(1-EnrlAll!S9/'Enrl-BackSeries'!D9)*100)</f>
        <v>30.73982102201629</v>
      </c>
      <c r="E9" s="45">
        <f>IF('Enrl-BackSeries'!E9-EnrlAll!T9&lt;0,"-",(1-EnrlAll!T9/'Enrl-BackSeries'!E9)*100)</f>
        <v>34.806884194795074</v>
      </c>
      <c r="F9" s="45">
        <f>IF('Enrl-BackSeries'!F9-EnrlAll!AD9&lt;0,"-",(1-EnrlAll!AD9/'Enrl-BackSeries'!F9)*100)</f>
        <v>58.608638493627332</v>
      </c>
      <c r="G9" s="45">
        <f>IF('Enrl-BackSeries'!G9-EnrlAll!AE9&lt;0,"-",(1-EnrlAll!AE9/'Enrl-BackSeries'!G9)*100)</f>
        <v>51.074103073741696</v>
      </c>
      <c r="H9" s="45">
        <f>IF('Enrl-BackSeries'!H9-EnrlAll!AF9&lt;0,"-",(1-EnrlAll!AF9/'Enrl-BackSeries'!H9)*100)</f>
        <v>55.475753060271657</v>
      </c>
      <c r="I9" s="45">
        <f>IF('Enrl-BackSeries'!I9-EnrlAll!AP9&lt;0,"-",(1-EnrlAll!AP9/'Enrl-BackSeries'!I9)*100)</f>
        <v>70.84181397649931</v>
      </c>
      <c r="J9" s="45">
        <f>IF('Enrl-BackSeries'!J9-EnrlAll!AQ9&lt;0,"-",(1-EnrlAll!AQ9/'Enrl-BackSeries'!J9)*100)</f>
        <v>71.869358677203849</v>
      </c>
      <c r="K9" s="45">
        <f>IF('Enrl-BackSeries'!K9-EnrlAll!AR9&lt;0,"-",(1-EnrlAll!AR9/'Enrl-BackSeries'!K9)*100)</f>
        <v>71.299915950251844</v>
      </c>
      <c r="L9" s="45">
        <f>IF('Enrl-BackSeries'!L9-EnrlSC!R9&lt;=0,"-",(1-EnrlSC!R9/'Enrl-BackSeries'!L9)*100)</f>
        <v>36.730198256871951</v>
      </c>
      <c r="M9" s="45">
        <f>IF('Enrl-BackSeries'!M9-EnrlSC!S9&lt;=0,"-",(1-EnrlSC!S9/'Enrl-BackSeries'!M9)*100)</f>
        <v>30.546110981500529</v>
      </c>
      <c r="N9" s="45">
        <f>IF('Enrl-BackSeries'!N9-EnrlSC!T9&lt;=0,"-",(1-EnrlSC!T9/'Enrl-BackSeries'!N9)*100)</f>
        <v>34.107267126387555</v>
      </c>
      <c r="O9" s="45">
        <f>IF('Enrl-BackSeries'!O9-EnrlSC!AD9&lt;=0,"-",(1-EnrlSC!AD9/'Enrl-BackSeries'!O9)*100)</f>
        <v>67.217656793927986</v>
      </c>
      <c r="P9" s="45">
        <f>IF('Enrl-BackSeries'!P9-EnrlSC!AE9&lt;=0,"-",(1-EnrlSC!AE9/'Enrl-BackSeries'!P9)*100)</f>
        <v>60.453856721929931</v>
      </c>
      <c r="Q9" s="45">
        <f>IF('Enrl-BackSeries'!Q9-EnrlSC!AF9&lt;=0,"-",(1-EnrlSC!AF9/'Enrl-BackSeries'!Q9)*100)</f>
        <v>64.563277632443473</v>
      </c>
      <c r="R9" s="45">
        <f>IF('Enrl-BackSeries'!R9-EnrlSC!AP9&lt;=0,"-",(1-EnrlSC!AP9/'Enrl-BackSeries'!R9)*100)</f>
        <v>80.473470241441063</v>
      </c>
      <c r="S9" s="45">
        <f>IF('Enrl-BackSeries'!S9-EnrlSC!AQ9&lt;=0,"-",(1-EnrlSC!AQ9/'Enrl-BackSeries'!S9)*100)</f>
        <v>81.099695656183712</v>
      </c>
      <c r="T9" s="45">
        <f>IF('Enrl-BackSeries'!T9-EnrlSC!AR9&lt;=0,"-",(1-EnrlSC!AR9/'Enrl-BackSeries'!T9)*100)</f>
        <v>80.73320378842358</v>
      </c>
      <c r="U9" s="45">
        <f>IF('Enrl-BackSeries'!U9-EnrlST!R9&lt;=0,"-",(1-EnrlST!R9/'Enrl-BackSeries'!U9)*100)</f>
        <v>14.428094957818328</v>
      </c>
      <c r="V9" s="45" t="str">
        <f>IF('Enrl-BackSeries'!V9-EnrlST!S9&lt;=0,"-",(1-EnrlST!S9/'Enrl-BackSeries'!V9)*100)</f>
        <v>-</v>
      </c>
      <c r="W9" s="45">
        <f>IF('Enrl-BackSeries'!W9-EnrlST!T9&lt;=0,"-",(1-EnrlST!T9/'Enrl-BackSeries'!W9)*100)</f>
        <v>3.113366371849291</v>
      </c>
      <c r="X9" s="45">
        <f>IF('Enrl-BackSeries'!X9-EnrlST!AD9&lt;=0,"-",(1-EnrlST!AD9/'Enrl-BackSeries'!X9)*100)</f>
        <v>43.498053309374065</v>
      </c>
      <c r="Y9" s="45">
        <f>IF('Enrl-BackSeries'!Y9-EnrlST!AE9&lt;=0,"-",(1-EnrlST!AE9/'Enrl-BackSeries'!Y9)*100)</f>
        <v>22.67198404785643</v>
      </c>
      <c r="Z9" s="45">
        <f>IF('Enrl-BackSeries'!Z9-EnrlST!AF9&lt;=0,"-",(1-EnrlST!AF9/'Enrl-BackSeries'!Z9)*100)</f>
        <v>35.681945743685681</v>
      </c>
      <c r="AA9" s="45">
        <f>IF('Enrl-BackSeries'!AA9-EnrlST!AP9&lt;=0,"-",(1-EnrlST!AP9/'Enrl-BackSeries'!AA9)*100)</f>
        <v>65.842813420338402</v>
      </c>
      <c r="AB9" s="45">
        <f>IF('Enrl-BackSeries'!AB9-EnrlST!AQ9&lt;=0,"-",(1-EnrlST!AQ9/'Enrl-BackSeries'!AB9)*100)</f>
        <v>63.681592039800996</v>
      </c>
      <c r="AC9" s="45">
        <f>IF('Enrl-BackSeries'!AC9-EnrlST!AR9&lt;=0,"-",(1-EnrlST!AR9/'Enrl-BackSeries'!AC9)*100)</f>
        <v>64.98227566553139</v>
      </c>
    </row>
    <row r="10" spans="1:29" s="35" customFormat="1" ht="18.75" customHeight="1">
      <c r="A10" s="25">
        <v>5</v>
      </c>
      <c r="B10" s="28" t="s">
        <v>19</v>
      </c>
      <c r="C10" s="45">
        <f>IF('Enrl-BackSeries'!C10-EnrlAll!R10&lt;0,"-",(1-EnrlAll!R10/'Enrl-BackSeries'!C10)*100)</f>
        <v>28.774027910840104</v>
      </c>
      <c r="D10" s="45">
        <f>IF('Enrl-BackSeries'!D10-EnrlAll!S10&lt;0,"-",(1-EnrlAll!S10/'Enrl-BackSeries'!D10)*100)</f>
        <v>29.827249415584255</v>
      </c>
      <c r="E10" s="45">
        <f>IF('Enrl-BackSeries'!E10-EnrlAll!T10&lt;0,"-",(1-EnrlAll!T10/'Enrl-BackSeries'!E10)*100)</f>
        <v>29.289330741353602</v>
      </c>
      <c r="F10" s="45">
        <f>IF('Enrl-BackSeries'!F10-EnrlAll!AD10&lt;0,"-",(1-EnrlAll!AD10/'Enrl-BackSeries'!F10)*100)</f>
        <v>43.646010246997101</v>
      </c>
      <c r="G10" s="45">
        <f>IF('Enrl-BackSeries'!G10-EnrlAll!AE10&lt;0,"-",(1-EnrlAll!AE10/'Enrl-BackSeries'!G10)*100)</f>
        <v>43.848483319032958</v>
      </c>
      <c r="H10" s="45">
        <f>IF('Enrl-BackSeries'!H10-EnrlAll!AF10&lt;0,"-",(1-EnrlAll!AF10/'Enrl-BackSeries'!H10)*100)</f>
        <v>43.743971438967158</v>
      </c>
      <c r="I10" s="45">
        <f>IF('Enrl-BackSeries'!I10-EnrlAll!AP10&lt;0,"-",(1-EnrlAll!AP10/'Enrl-BackSeries'!I10)*100)</f>
        <v>50.23221811301282</v>
      </c>
      <c r="J10" s="45">
        <f>IF('Enrl-BackSeries'!J10-EnrlAll!AQ10&lt;0,"-",(1-EnrlAll!AQ10/'Enrl-BackSeries'!J10)*100)</f>
        <v>51.405205348615091</v>
      </c>
      <c r="K10" s="45">
        <f>IF('Enrl-BackSeries'!K10-EnrlAll!AR10&lt;0,"-",(1-EnrlAll!AR10/'Enrl-BackSeries'!K10)*100)</f>
        <v>50.806902098413389</v>
      </c>
      <c r="L10" s="45">
        <f>IF('Enrl-BackSeries'!L10-EnrlSC!R10&lt;=0,"-",(1-EnrlSC!R10/'Enrl-BackSeries'!L10)*100)</f>
        <v>29.793701415188355</v>
      </c>
      <c r="M10" s="45">
        <f>IF('Enrl-BackSeries'!M10-EnrlSC!S10&lt;=0,"-",(1-EnrlSC!S10/'Enrl-BackSeries'!M10)*100)</f>
        <v>25.554087500232615</v>
      </c>
      <c r="N10" s="45">
        <f>IF('Enrl-BackSeries'!N10-EnrlSC!T10&lt;=0,"-",(1-EnrlSC!T10/'Enrl-BackSeries'!N10)*100)</f>
        <v>27.794209283752114</v>
      </c>
      <c r="O10" s="45">
        <f>IF('Enrl-BackSeries'!O10-EnrlSC!AD10&lt;=0,"-",(1-EnrlSC!AD10/'Enrl-BackSeries'!O10)*100)</f>
        <v>45.382615759545089</v>
      </c>
      <c r="P10" s="45">
        <f>IF('Enrl-BackSeries'!P10-EnrlSC!AE10&lt;=0,"-",(1-EnrlSC!AE10/'Enrl-BackSeries'!P10)*100)</f>
        <v>45.083337828361834</v>
      </c>
      <c r="Q10" s="45">
        <f>IF('Enrl-BackSeries'!Q10-EnrlSC!AF10&lt;=0,"-",(1-EnrlSC!AF10/'Enrl-BackSeries'!Q10)*100)</f>
        <v>45.240554080927218</v>
      </c>
      <c r="R10" s="45">
        <f>IF('Enrl-BackSeries'!R10-EnrlSC!AP10&lt;=0,"-",(1-EnrlSC!AP10/'Enrl-BackSeries'!R10)*100)</f>
        <v>55.439198002459655</v>
      </c>
      <c r="S10" s="45">
        <f>IF('Enrl-BackSeries'!S10-EnrlSC!AQ10&lt;=0,"-",(1-EnrlSC!AQ10/'Enrl-BackSeries'!S10)*100)</f>
        <v>56.353623188405798</v>
      </c>
      <c r="T10" s="45">
        <f>IF('Enrl-BackSeries'!T10-EnrlSC!AR10&lt;=0,"-",(1-EnrlSC!AR10/'Enrl-BackSeries'!T10)*100)</f>
        <v>55.888100478105798</v>
      </c>
      <c r="U10" s="45">
        <f>IF('Enrl-BackSeries'!U10-EnrlST!R10&lt;=0,"-",(1-EnrlST!R10/'Enrl-BackSeries'!U10)*100)</f>
        <v>37.746637094218968</v>
      </c>
      <c r="V10" s="45">
        <f>IF('Enrl-BackSeries'!V10-EnrlST!S10&lt;=0,"-",(1-EnrlST!S10/'Enrl-BackSeries'!V10)*100)</f>
        <v>34.576422401557238</v>
      </c>
      <c r="W10" s="45">
        <f>IF('Enrl-BackSeries'!W10-EnrlST!T10&lt;=0,"-",(1-EnrlST!T10/'Enrl-BackSeries'!W10)*100)</f>
        <v>36.255688255016914</v>
      </c>
      <c r="X10" s="45">
        <f>IF('Enrl-BackSeries'!X10-EnrlST!AD10&lt;=0,"-",(1-EnrlST!AD10/'Enrl-BackSeries'!X10)*100)</f>
        <v>53.211866050708757</v>
      </c>
      <c r="Y10" s="45">
        <f>IF('Enrl-BackSeries'!Y10-EnrlST!AE10&lt;=0,"-",(1-EnrlST!AE10/'Enrl-BackSeries'!Y10)*100)</f>
        <v>55.659658334167347</v>
      </c>
      <c r="Z10" s="45">
        <f>IF('Enrl-BackSeries'!Z10-EnrlST!AF10&lt;=0,"-",(1-EnrlST!AF10/'Enrl-BackSeries'!Z10)*100)</f>
        <v>54.393488925226698</v>
      </c>
      <c r="AA10" s="45">
        <f>IF('Enrl-BackSeries'!AA10-EnrlST!AP10&lt;=0,"-",(1-EnrlST!AP10/'Enrl-BackSeries'!AA10)*100)</f>
        <v>53.504438717067579</v>
      </c>
      <c r="AB10" s="45">
        <f>IF('Enrl-BackSeries'!AB10-EnrlST!AQ10&lt;=0,"-",(1-EnrlST!AQ10/'Enrl-BackSeries'!AB10)*100)</f>
        <v>53.732278457337365</v>
      </c>
      <c r="AC10" s="45">
        <f>IF('Enrl-BackSeries'!AC10-EnrlST!AR10&lt;=0,"-",(1-EnrlST!AR10/'Enrl-BackSeries'!AC10)*100)</f>
        <v>53.615851762424782</v>
      </c>
    </row>
    <row r="11" spans="1:29" s="35" customFormat="1" ht="18.75" customHeight="1">
      <c r="A11" s="25">
        <v>6</v>
      </c>
      <c r="B11" s="26" t="s">
        <v>20</v>
      </c>
      <c r="C11" s="45">
        <f>IF('Enrl-BackSeries'!C11-EnrlAll!R11&lt;0,"-",(1-EnrlAll!R11/'Enrl-BackSeries'!C11)*100)</f>
        <v>3.9747539259147979</v>
      </c>
      <c r="D11" s="45">
        <f>IF('Enrl-BackSeries'!D11-EnrlAll!S11&lt;0,"-",(1-EnrlAll!S11/'Enrl-BackSeries'!D11)*100)</f>
        <v>5.5045871559633035</v>
      </c>
      <c r="E11" s="45">
        <f>IF('Enrl-BackSeries'!E11-EnrlAll!T11&lt;0,"-",(1-EnrlAll!T11/'Enrl-BackSeries'!E11)*100)</f>
        <v>4.7134252962890972</v>
      </c>
      <c r="F11" s="45">
        <f>IF('Enrl-BackSeries'!F11-EnrlAll!AD11&lt;0,"-",(1-EnrlAll!AD11/'Enrl-BackSeries'!F11)*100)</f>
        <v>3.5823785702759348</v>
      </c>
      <c r="G11" s="45">
        <f>IF('Enrl-BackSeries'!G11-EnrlAll!AE11&lt;0,"-",(1-EnrlAll!AE11/'Enrl-BackSeries'!G11)*100)</f>
        <v>6.7029303386558992</v>
      </c>
      <c r="H11" s="45">
        <f>IF('Enrl-BackSeries'!H11-EnrlAll!AF11&lt;0,"-",(1-EnrlAll!AF11/'Enrl-BackSeries'!H11)*100)</f>
        <v>5.0773369199730967</v>
      </c>
      <c r="I11" s="45">
        <f>IF('Enrl-BackSeries'!I11-EnrlAll!AP11&lt;0,"-",(1-EnrlAll!AP11/'Enrl-BackSeries'!I11)*100)</f>
        <v>15.833957419492883</v>
      </c>
      <c r="J11" s="45">
        <f>IF('Enrl-BackSeries'!J11-EnrlAll!AQ11&lt;0,"-",(1-EnrlAll!AQ11/'Enrl-BackSeries'!J11)*100)</f>
        <v>17.374250115366863</v>
      </c>
      <c r="K11" s="45">
        <f>IF('Enrl-BackSeries'!K11-EnrlAll!AR11&lt;0,"-",(1-EnrlAll!AR11/'Enrl-BackSeries'!K11)*100)</f>
        <v>16.575076325284488</v>
      </c>
      <c r="L11" s="45">
        <f>IF('Enrl-BackSeries'!L11-EnrlSC!R11&lt;=0,"-",(1-EnrlSC!R11/'Enrl-BackSeries'!L11)*100)</f>
        <v>19.298245614035093</v>
      </c>
      <c r="M11" s="45">
        <f>IF('Enrl-BackSeries'!M11-EnrlSC!S11&lt;=0,"-",(1-EnrlSC!S11/'Enrl-BackSeries'!M11)*100)</f>
        <v>24.295774647887324</v>
      </c>
      <c r="N11" s="45">
        <f>IF('Enrl-BackSeries'!N11-EnrlSC!T11&lt;=0,"-",(1-EnrlSC!T11/'Enrl-BackSeries'!N11)*100)</f>
        <v>21.792618629173987</v>
      </c>
      <c r="O11" s="45">
        <f>IF('Enrl-BackSeries'!O11-EnrlSC!AD11&lt;=0,"-",(1-EnrlSC!AD11/'Enrl-BackSeries'!O11)*100)</f>
        <v>11.578947368421055</v>
      </c>
      <c r="P11" s="45">
        <f>IF('Enrl-BackSeries'!P11-EnrlSC!AE11&lt;=0,"-",(1-EnrlSC!AE11/'Enrl-BackSeries'!P11)*100)</f>
        <v>24.553571428571431</v>
      </c>
      <c r="Q11" s="45">
        <f>IF('Enrl-BackSeries'!Q11-EnrlSC!AF11&lt;=0,"-",(1-EnrlSC!AF11/'Enrl-BackSeries'!Q11)*100)</f>
        <v>18.599033816425127</v>
      </c>
      <c r="R11" s="45">
        <f>IF('Enrl-BackSeries'!R11-EnrlSC!AP11&lt;=0,"-",(1-EnrlSC!AP11/'Enrl-BackSeries'!R11)*100)</f>
        <v>49.339207048458142</v>
      </c>
      <c r="S11" s="45">
        <f>IF('Enrl-BackSeries'!S11-EnrlSC!AQ11&lt;=0,"-",(1-EnrlSC!AQ11/'Enrl-BackSeries'!S11)*100)</f>
        <v>52.727272727272734</v>
      </c>
      <c r="T11" s="45">
        <f>IF('Enrl-BackSeries'!T11-EnrlSC!AR11&lt;=0,"-",(1-EnrlSC!AR11/'Enrl-BackSeries'!T11)*100)</f>
        <v>51.006711409395969</v>
      </c>
      <c r="U11" s="45" t="str">
        <f>IF('Enrl-BackSeries'!U11-EnrlST!R11&lt;=0,"-",(1-EnrlST!R11/'Enrl-BackSeries'!U11)*100)</f>
        <v>-</v>
      </c>
      <c r="V11" s="45" t="str">
        <f>IF('Enrl-BackSeries'!V11-EnrlST!S11&lt;=0,"-",(1-EnrlST!S11/'Enrl-BackSeries'!V11)*100)</f>
        <v>-</v>
      </c>
      <c r="W11" s="45" t="str">
        <f>IF('Enrl-BackSeries'!W11-EnrlST!T11&lt;=0,"-",(1-EnrlST!T11/'Enrl-BackSeries'!W11)*100)</f>
        <v>-</v>
      </c>
      <c r="X11" s="45" t="str">
        <f>IF('Enrl-BackSeries'!X11-EnrlST!AD11&lt;=0,"-",(1-EnrlST!AD11/'Enrl-BackSeries'!X11)*100)</f>
        <v>-</v>
      </c>
      <c r="Y11" s="45" t="str">
        <f>IF('Enrl-BackSeries'!Y11-EnrlST!AE11&lt;=0,"-",(1-EnrlST!AE11/'Enrl-BackSeries'!Y11)*100)</f>
        <v>-</v>
      </c>
      <c r="Z11" s="45" t="str">
        <f>IF('Enrl-BackSeries'!Z11-EnrlST!AF11&lt;=0,"-",(1-EnrlST!AF11/'Enrl-BackSeries'!Z11)*100)</f>
        <v>-</v>
      </c>
      <c r="AA11" s="45" t="str">
        <f>IF('Enrl-BackSeries'!AA11-EnrlST!AP11&lt;=0,"-",(1-EnrlST!AP11/'Enrl-BackSeries'!AA11)*100)</f>
        <v>-</v>
      </c>
      <c r="AB11" s="45" t="str">
        <f>IF('Enrl-BackSeries'!AB11-EnrlST!AQ11&lt;=0,"-",(1-EnrlST!AQ11/'Enrl-BackSeries'!AB11)*100)</f>
        <v>-</v>
      </c>
      <c r="AC11" s="45" t="str">
        <f>IF('Enrl-BackSeries'!AC11-EnrlST!AR11&lt;=0,"-",(1-EnrlST!AR11/'Enrl-BackSeries'!AC11)*100)</f>
        <v>-</v>
      </c>
    </row>
    <row r="12" spans="1:29" s="35" customFormat="1" ht="18.75" customHeight="1">
      <c r="A12" s="25">
        <v>7</v>
      </c>
      <c r="B12" s="26" t="s">
        <v>21</v>
      </c>
      <c r="C12" s="45">
        <f>IF('Enrl-BackSeries'!C12-EnrlAll!R12&lt;0,"-",(1-EnrlAll!R12/'Enrl-BackSeries'!C12)*100)</f>
        <v>38.130112390256564</v>
      </c>
      <c r="D12" s="45">
        <f>IF('Enrl-BackSeries'!D12-EnrlAll!S12&lt;0,"-",(1-EnrlAll!S12/'Enrl-BackSeries'!D12)*100)</f>
        <v>8.3419176209882036</v>
      </c>
      <c r="E12" s="45">
        <f>IF('Enrl-BackSeries'!E12-EnrlAll!T12&lt;0,"-",(1-EnrlAll!T12/'Enrl-BackSeries'!E12)*100)</f>
        <v>27.113326064871025</v>
      </c>
      <c r="F12" s="45">
        <f>IF('Enrl-BackSeries'!F12-EnrlAll!AD12&lt;0,"-",(1-EnrlAll!AD12/'Enrl-BackSeries'!F12)*100)</f>
        <v>50.195122440585457</v>
      </c>
      <c r="G12" s="45">
        <f>IF('Enrl-BackSeries'!G12-EnrlAll!AE12&lt;0,"-",(1-EnrlAll!AE12/'Enrl-BackSeries'!G12)*100)</f>
        <v>40.758450208220786</v>
      </c>
      <c r="H12" s="45">
        <f>IF('Enrl-BackSeries'!H12-EnrlAll!AF12&lt;0,"-",(1-EnrlAll!AF12/'Enrl-BackSeries'!H12)*100)</f>
        <v>46.705328095306129</v>
      </c>
      <c r="I12" s="45">
        <f>IF('Enrl-BackSeries'!I12-EnrlAll!AP12&lt;0,"-",(1-EnrlAll!AP12/'Enrl-BackSeries'!I12)*100)</f>
        <v>49.451076919857492</v>
      </c>
      <c r="J12" s="45">
        <f>IF('Enrl-BackSeries'!J12-EnrlAll!AQ12&lt;0,"-",(1-EnrlAll!AQ12/'Enrl-BackSeries'!J12)*100)</f>
        <v>59.26460133837034</v>
      </c>
      <c r="K12" s="45">
        <f>IF('Enrl-BackSeries'!K12-EnrlAll!AR12&lt;0,"-",(1-EnrlAll!AR12/'Enrl-BackSeries'!K12)*100)</f>
        <v>54.073498563735292</v>
      </c>
      <c r="L12" s="45">
        <f>IF('Enrl-BackSeries'!L12-EnrlSC!R12&lt;=0,"-",(1-EnrlSC!R12/'Enrl-BackSeries'!L12)*100)</f>
        <v>25.750502795357676</v>
      </c>
      <c r="M12" s="45">
        <f>IF('Enrl-BackSeries'!M12-EnrlSC!S12&lt;=0,"-",(1-EnrlSC!S12/'Enrl-BackSeries'!M12)*100)</f>
        <v>19.124756702454949</v>
      </c>
      <c r="N12" s="45">
        <f>IF('Enrl-BackSeries'!N12-EnrlSC!T12&lt;=0,"-",(1-EnrlSC!T12/'Enrl-BackSeries'!N12)*100)</f>
        <v>22.64606091509933</v>
      </c>
      <c r="O12" s="45">
        <f>IF('Enrl-BackSeries'!O12-EnrlSC!AD12&lt;=0,"-",(1-EnrlSC!AD12/'Enrl-BackSeries'!O12)*100)</f>
        <v>47.951312624202494</v>
      </c>
      <c r="P12" s="45">
        <f>IF('Enrl-BackSeries'!P12-EnrlSC!AE12&lt;=0,"-",(1-EnrlSC!AE12/'Enrl-BackSeries'!P12)*100)</f>
        <v>58.513068502091549</v>
      </c>
      <c r="Q12" s="45">
        <f>IF('Enrl-BackSeries'!Q12-EnrlSC!AF12&lt;=0,"-",(1-EnrlSC!AF12/'Enrl-BackSeries'!Q12)*100)</f>
        <v>52.899195285680534</v>
      </c>
      <c r="R12" s="45">
        <f>IF('Enrl-BackSeries'!R12-EnrlSC!AP12&lt;=0,"-",(1-EnrlSC!AP12/'Enrl-BackSeries'!R12)*100)</f>
        <v>39.060854201352313</v>
      </c>
      <c r="S12" s="45">
        <f>IF('Enrl-BackSeries'!S12-EnrlSC!AQ12&lt;=0,"-",(1-EnrlSC!AQ12/'Enrl-BackSeries'!S12)*100)</f>
        <v>52.614683255769776</v>
      </c>
      <c r="T12" s="45">
        <f>IF('Enrl-BackSeries'!T12-EnrlSC!AR12&lt;=0,"-",(1-EnrlSC!AR12/'Enrl-BackSeries'!T12)*100)</f>
        <v>45.459926282654905</v>
      </c>
      <c r="U12" s="45">
        <f>IF('Enrl-BackSeries'!U12-EnrlST!R12&lt;=0,"-",(1-EnrlST!R12/'Enrl-BackSeries'!U12)*100)</f>
        <v>48.614605221496213</v>
      </c>
      <c r="V12" s="45">
        <f>IF('Enrl-BackSeries'!V12-EnrlST!S12&lt;=0,"-",(1-EnrlST!S12/'Enrl-BackSeries'!V12)*100)</f>
        <v>41.93653546037801</v>
      </c>
      <c r="W12" s="45">
        <f>IF('Enrl-BackSeries'!W12-EnrlST!T12&lt;=0,"-",(1-EnrlST!T12/'Enrl-BackSeries'!W12)*100)</f>
        <v>45.585755631055747</v>
      </c>
      <c r="X12" s="45">
        <f>IF('Enrl-BackSeries'!X12-EnrlST!AD12&lt;=0,"-",(1-EnrlST!AD12/'Enrl-BackSeries'!X12)*100)</f>
        <v>69.402915265802022</v>
      </c>
      <c r="Y12" s="45">
        <f>IF('Enrl-BackSeries'!Y12-EnrlST!AE12&lt;=0,"-",(1-EnrlST!AE12/'Enrl-BackSeries'!Y12)*100)</f>
        <v>71.183025208969966</v>
      </c>
      <c r="Z12" s="45">
        <f>IF('Enrl-BackSeries'!Z12-EnrlST!AF12&lt;=0,"-",(1-EnrlST!AF12/'Enrl-BackSeries'!Z12)*100)</f>
        <v>70.210347813537297</v>
      </c>
      <c r="AA12" s="45">
        <f>IF('Enrl-BackSeries'!AA12-EnrlST!AP12&lt;=0,"-",(1-EnrlST!AP12/'Enrl-BackSeries'!AA12)*100)</f>
        <v>65.288506247093949</v>
      </c>
      <c r="AB12" s="45">
        <f>IF('Enrl-BackSeries'!AB12-EnrlST!AQ12&lt;=0,"-",(1-EnrlST!AQ12/'Enrl-BackSeries'!AB12)*100)</f>
        <v>67.975909076190774</v>
      </c>
      <c r="AC12" s="45">
        <f>IF('Enrl-BackSeries'!AC12-EnrlST!AR12&lt;=0,"-",(1-EnrlST!AR12/'Enrl-BackSeries'!AC12)*100)</f>
        <v>66.580891799092171</v>
      </c>
    </row>
    <row r="13" spans="1:29" s="35" customFormat="1" ht="18.75" customHeight="1">
      <c r="A13" s="25">
        <v>8</v>
      </c>
      <c r="B13" s="26" t="s">
        <v>22</v>
      </c>
      <c r="C13" s="45">
        <f>IF('Enrl-BackSeries'!C13-EnrlAll!R13&lt;0,"-",(1-EnrlAll!R13/'Enrl-BackSeries'!C13)*100)</f>
        <v>7.1668944379053467</v>
      </c>
      <c r="D13" s="45">
        <f>IF('Enrl-BackSeries'!D13-EnrlAll!S13&lt;0,"-",(1-EnrlAll!S13/'Enrl-BackSeries'!D13)*100)</f>
        <v>6.9834468797799527</v>
      </c>
      <c r="E13" s="45">
        <f>IF('Enrl-BackSeries'!E13-EnrlAll!T13&lt;0,"-",(1-EnrlAll!T13/'Enrl-BackSeries'!E13)*100)</f>
        <v>7.081535547065565</v>
      </c>
      <c r="F13" s="45">
        <f>IF('Enrl-BackSeries'!F13-EnrlAll!AD13&lt;0,"-",(1-EnrlAll!AD13/'Enrl-BackSeries'!F13)*100)</f>
        <v>2.5377654050563359</v>
      </c>
      <c r="G13" s="45" t="str">
        <f>IF('Enrl-BackSeries'!G13-EnrlAll!AE13&lt;0,"-",(1-EnrlAll!AE13/'Enrl-BackSeries'!G13)*100)</f>
        <v>-</v>
      </c>
      <c r="H13" s="45">
        <f>IF('Enrl-BackSeries'!H13-EnrlAll!AF13&lt;0,"-",(1-EnrlAll!AF13/'Enrl-BackSeries'!H13)*100)</f>
        <v>1.1881467544684887</v>
      </c>
      <c r="I13" s="45">
        <f>IF('Enrl-BackSeries'!I13-EnrlAll!AP13&lt;0,"-",(1-EnrlAll!AP13/'Enrl-BackSeries'!I13)*100)</f>
        <v>23.628873092537027</v>
      </c>
      <c r="J13" s="45">
        <f>IF('Enrl-BackSeries'!J13-EnrlAll!AQ13&lt;0,"-",(1-EnrlAll!AQ13/'Enrl-BackSeries'!J13)*100)</f>
        <v>18.526041190371913</v>
      </c>
      <c r="K13" s="45">
        <f>IF('Enrl-BackSeries'!K13-EnrlAll!AR13&lt;0,"-",(1-EnrlAll!AR13/'Enrl-BackSeries'!K13)*100)</f>
        <v>21.309219321257366</v>
      </c>
      <c r="L13" s="45">
        <f>IF('Enrl-BackSeries'!L13-EnrlSC!R13&lt;=0,"-",(1-EnrlSC!R13/'Enrl-BackSeries'!L13)*100)</f>
        <v>9.3101334596416905</v>
      </c>
      <c r="M13" s="45">
        <f>IF('Enrl-BackSeries'!M13-EnrlSC!S13&lt;=0,"-",(1-EnrlSC!S13/'Enrl-BackSeries'!M13)*100)</f>
        <v>8.8089481898583131</v>
      </c>
      <c r="N13" s="45">
        <f>IF('Enrl-BackSeries'!N13-EnrlSC!T13&lt;=0,"-",(1-EnrlSC!T13/'Enrl-BackSeries'!N13)*100)</f>
        <v>9.0712868976782204</v>
      </c>
      <c r="O13" s="45">
        <f>IF('Enrl-BackSeries'!O13-EnrlSC!AD13&lt;=0,"-",(1-EnrlSC!AD13/'Enrl-BackSeries'!O13)*100)</f>
        <v>10.435342479322474</v>
      </c>
      <c r="P13" s="45">
        <f>IF('Enrl-BackSeries'!P13-EnrlSC!AE13&lt;=0,"-",(1-EnrlSC!AE13/'Enrl-BackSeries'!P13)*100)</f>
        <v>3.8718416646285281</v>
      </c>
      <c r="Q13" s="45">
        <f>IF('Enrl-BackSeries'!Q13-EnrlSC!AF13&lt;=0,"-",(1-EnrlSC!AF13/'Enrl-BackSeries'!Q13)*100)</f>
        <v>7.3677083516522135</v>
      </c>
      <c r="R13" s="45">
        <f>IF('Enrl-BackSeries'!R13-EnrlSC!AP13&lt;=0,"-",(1-EnrlSC!AP13/'Enrl-BackSeries'!R13)*100)</f>
        <v>32.134403239493238</v>
      </c>
      <c r="S13" s="45">
        <f>IF('Enrl-BackSeries'!S13-EnrlSC!AQ13&lt;=0,"-",(1-EnrlSC!AQ13/'Enrl-BackSeries'!S13)*100)</f>
        <v>31.346990482222925</v>
      </c>
      <c r="T13" s="45">
        <f>IF('Enrl-BackSeries'!T13-EnrlSC!AR13&lt;=0,"-",(1-EnrlSC!AR13/'Enrl-BackSeries'!T13)*100)</f>
        <v>31.762920323361953</v>
      </c>
      <c r="U13" s="45" t="str">
        <f>IF('Enrl-BackSeries'!U13-EnrlST!R13&lt;=0,"-",(1-EnrlST!R13/'Enrl-BackSeries'!U13)*100)</f>
        <v>-</v>
      </c>
      <c r="V13" s="45" t="str">
        <f>IF('Enrl-BackSeries'!V13-EnrlST!S13&lt;=0,"-",(1-EnrlST!S13/'Enrl-BackSeries'!V13)*100)</f>
        <v>-</v>
      </c>
      <c r="W13" s="45" t="str">
        <f>IF('Enrl-BackSeries'!W13-EnrlST!T13&lt;=0,"-",(1-EnrlST!T13/'Enrl-BackSeries'!W13)*100)</f>
        <v>-</v>
      </c>
      <c r="X13" s="45" t="str">
        <f>IF('Enrl-BackSeries'!X13-EnrlST!AD13&lt;=0,"-",(1-EnrlST!AD13/'Enrl-BackSeries'!X13)*100)</f>
        <v>-</v>
      </c>
      <c r="Y13" s="45" t="str">
        <f>IF('Enrl-BackSeries'!Y13-EnrlST!AE13&lt;=0,"-",(1-EnrlST!AE13/'Enrl-BackSeries'!Y13)*100)</f>
        <v>-</v>
      </c>
      <c r="Z13" s="45" t="str">
        <f>IF('Enrl-BackSeries'!Z13-EnrlST!AF13&lt;=0,"-",(1-EnrlST!AF13/'Enrl-BackSeries'!Z13)*100)</f>
        <v>-</v>
      </c>
      <c r="AA13" s="45">
        <f>IF('Enrl-BackSeries'!AA13-EnrlST!AP13&lt;=0,"-",(1-EnrlST!AP13/'Enrl-BackSeries'!AA13)*100)</f>
        <v>100</v>
      </c>
      <c r="AB13" s="45">
        <f>IF('Enrl-BackSeries'!AB13-EnrlST!AQ13&lt;=0,"-",(1-EnrlST!AQ13/'Enrl-BackSeries'!AB13)*100)</f>
        <v>100</v>
      </c>
      <c r="AC13" s="45">
        <f>IF('Enrl-BackSeries'!AC13-EnrlST!AR13&lt;=0,"-",(1-EnrlST!AR13/'Enrl-BackSeries'!AC13)*100)</f>
        <v>100</v>
      </c>
    </row>
    <row r="14" spans="1:29" s="35" customFormat="1" ht="18.75" customHeight="1">
      <c r="A14" s="25">
        <v>9</v>
      </c>
      <c r="B14" s="26" t="s">
        <v>23</v>
      </c>
      <c r="C14" s="45">
        <f>IF('Enrl-BackSeries'!C14-EnrlAll!R14&lt;0,"-",(1-EnrlAll!R14/'Enrl-BackSeries'!C14)*100)</f>
        <v>3.0959110887484598</v>
      </c>
      <c r="D14" s="45">
        <f>IF('Enrl-BackSeries'!D14-EnrlAll!S14&lt;0,"-",(1-EnrlAll!S14/'Enrl-BackSeries'!D14)*100)</f>
        <v>4.2657045840407415</v>
      </c>
      <c r="E14" s="45">
        <f>IF('Enrl-BackSeries'!E14-EnrlAll!T14&lt;0,"-",(1-EnrlAll!T14/'Enrl-BackSeries'!E14)*100)</f>
        <v>3.6521280146550872</v>
      </c>
      <c r="F14" s="45" t="str">
        <f>IF('Enrl-BackSeries'!F14-EnrlAll!AD14&lt;0,"-",(1-EnrlAll!AD14/'Enrl-BackSeries'!F14)*100)</f>
        <v>-</v>
      </c>
      <c r="G14" s="45">
        <f>IF('Enrl-BackSeries'!G14-EnrlAll!AE14&lt;0,"-",(1-EnrlAll!AE14/'Enrl-BackSeries'!G14)*100)</f>
        <v>3.3989348677766928</v>
      </c>
      <c r="H14" s="45">
        <f>IF('Enrl-BackSeries'!H14-EnrlAll!AF14&lt;0,"-",(1-EnrlAll!AF14/'Enrl-BackSeries'!H14)*100)</f>
        <v>1.6100478643188643</v>
      </c>
      <c r="I14" s="45">
        <f>IF('Enrl-BackSeries'!I14-EnrlAll!AP14&lt;0,"-",(1-EnrlAll!AP14/'Enrl-BackSeries'!I14)*100)</f>
        <v>7.2643241532130425</v>
      </c>
      <c r="J14" s="45">
        <f>IF('Enrl-BackSeries'!J14-EnrlAll!AQ14&lt;0,"-",(1-EnrlAll!AQ14/'Enrl-BackSeries'!J14)*100)</f>
        <v>6.9831745724516452</v>
      </c>
      <c r="K14" s="45">
        <f>IF('Enrl-BackSeries'!K14-EnrlAll!AR14&lt;0,"-",(1-EnrlAll!AR14/'Enrl-BackSeries'!K14)*100)</f>
        <v>7.1299221445283116</v>
      </c>
      <c r="L14" s="45">
        <f>IF('Enrl-BackSeries'!L14-EnrlSC!R14&lt;=0,"-",(1-EnrlSC!R14/'Enrl-BackSeries'!L14)*100)</f>
        <v>7.1301713330547472</v>
      </c>
      <c r="M14" s="45">
        <f>IF('Enrl-BackSeries'!M14-EnrlSC!S14&lt;=0,"-",(1-EnrlSC!S14/'Enrl-BackSeries'!M14)*100)</f>
        <v>7.0123779922569351</v>
      </c>
      <c r="N14" s="45">
        <f>IF('Enrl-BackSeries'!N14-EnrlSC!T14&lt;=0,"-",(1-EnrlSC!T14/'Enrl-BackSeries'!N14)*100)</f>
        <v>7.072539551263235</v>
      </c>
      <c r="O14" s="45">
        <f>IF('Enrl-BackSeries'!O14-EnrlSC!AD14&lt;=0,"-",(1-EnrlSC!AD14/'Enrl-BackSeries'!O14)*100)</f>
        <v>8.9124569727416549</v>
      </c>
      <c r="P14" s="45">
        <f>IF('Enrl-BackSeries'!P14-EnrlSC!AE14&lt;=0,"-",(1-EnrlSC!AE14/'Enrl-BackSeries'!P14)*100)</f>
        <v>11.196153468746939</v>
      </c>
      <c r="Q14" s="45">
        <f>IF('Enrl-BackSeries'!Q14-EnrlSC!AF14&lt;=0,"-",(1-EnrlSC!AF14/'Enrl-BackSeries'!Q14)*100)</f>
        <v>10.02387774594078</v>
      </c>
      <c r="R14" s="45">
        <f>IF('Enrl-BackSeries'!R14-EnrlSC!AP14&lt;=0,"-",(1-EnrlSC!AP14/'Enrl-BackSeries'!R14)*100)</f>
        <v>24.566461551701877</v>
      </c>
      <c r="S14" s="45">
        <f>IF('Enrl-BackSeries'!S14-EnrlSC!AQ14&lt;=0,"-",(1-EnrlSC!AQ14/'Enrl-BackSeries'!S14)*100)</f>
        <v>24.074746008708271</v>
      </c>
      <c r="T14" s="45">
        <f>IF('Enrl-BackSeries'!T14-EnrlSC!AR14&lt;=0,"-",(1-EnrlSC!AR14/'Enrl-BackSeries'!T14)*100)</f>
        <v>24.327069578466233</v>
      </c>
      <c r="U14" s="45" t="str">
        <f>IF('Enrl-BackSeries'!U14-EnrlST!R14&lt;=0,"-",(1-EnrlST!R14/'Enrl-BackSeries'!U14)*100)</f>
        <v>-</v>
      </c>
      <c r="V14" s="45">
        <f>IF('Enrl-BackSeries'!V14-EnrlST!S14&lt;=0,"-",(1-EnrlST!S14/'Enrl-BackSeries'!V14)*100)</f>
        <v>1.6293279022403295</v>
      </c>
      <c r="W14" s="45" t="str">
        <f>IF('Enrl-BackSeries'!W14-EnrlST!T14&lt;=0,"-",(1-EnrlST!T14/'Enrl-BackSeries'!W14)*100)</f>
        <v>-</v>
      </c>
      <c r="X14" s="45" t="str">
        <f>IF('Enrl-BackSeries'!X14-EnrlST!AD14&lt;=0,"-",(1-EnrlST!AD14/'Enrl-BackSeries'!X14)*100)</f>
        <v>-</v>
      </c>
      <c r="Y14" s="45" t="str">
        <f>IF('Enrl-BackSeries'!Y14-EnrlST!AE14&lt;=0,"-",(1-EnrlST!AE14/'Enrl-BackSeries'!Y14)*100)</f>
        <v>-</v>
      </c>
      <c r="Z14" s="45" t="str">
        <f>IF('Enrl-BackSeries'!Z14-EnrlST!AF14&lt;=0,"-",(1-EnrlST!AF14/'Enrl-BackSeries'!Z14)*100)</f>
        <v>-</v>
      </c>
      <c r="AA14" s="45" t="str">
        <f>IF('Enrl-BackSeries'!AA14-EnrlST!AP14&lt;=0,"-",(1-EnrlST!AP14/'Enrl-BackSeries'!AA14)*100)</f>
        <v>-</v>
      </c>
      <c r="AB14" s="45" t="str">
        <f>IF('Enrl-BackSeries'!AB14-EnrlST!AQ14&lt;=0,"-",(1-EnrlST!AQ14/'Enrl-BackSeries'!AB14)*100)</f>
        <v>-</v>
      </c>
      <c r="AC14" s="45" t="str">
        <f>IF('Enrl-BackSeries'!AC14-EnrlST!AR14&lt;=0,"-",(1-EnrlST!AR14/'Enrl-BackSeries'!AC14)*100)</f>
        <v>-</v>
      </c>
    </row>
    <row r="15" spans="1:29" s="35" customFormat="1" ht="18.75" customHeight="1">
      <c r="A15" s="25">
        <v>10</v>
      </c>
      <c r="B15" s="26" t="s">
        <v>24</v>
      </c>
      <c r="C15" s="45">
        <f>IF('Enrl-BackSeries'!C15-EnrlAll!R15&lt;0,"-",(1-EnrlAll!R15/'Enrl-BackSeries'!C15)*100)</f>
        <v>9.7888702958664133</v>
      </c>
      <c r="D15" s="45">
        <f>IF('Enrl-BackSeries'!D15-EnrlAll!S15&lt;0,"-",(1-EnrlAll!S15/'Enrl-BackSeries'!D15)*100)</f>
        <v>6.8167917709202168</v>
      </c>
      <c r="E15" s="45">
        <f>IF('Enrl-BackSeries'!E15-EnrlAll!T15&lt;0,"-",(1-EnrlAll!T15/'Enrl-BackSeries'!E15)*100)</f>
        <v>8.3839597491833455</v>
      </c>
      <c r="F15" s="45">
        <f>IF('Enrl-BackSeries'!F15-EnrlAll!AD15&lt;0,"-",(1-EnrlAll!AD15/'Enrl-BackSeries'!F15)*100)</f>
        <v>9.5507956328242614</v>
      </c>
      <c r="G15" s="45">
        <f>IF('Enrl-BackSeries'!G15-EnrlAll!AE15&lt;0,"-",(1-EnrlAll!AE15/'Enrl-BackSeries'!G15)*100)</f>
        <v>13.802137734141073</v>
      </c>
      <c r="H15" s="45">
        <f>IF('Enrl-BackSeries'!H15-EnrlAll!AF15&lt;0,"-",(1-EnrlAll!AF15/'Enrl-BackSeries'!H15)*100)</f>
        <v>11.587440580435327</v>
      </c>
      <c r="I15" s="45">
        <f>IF('Enrl-BackSeries'!I15-EnrlAll!AP15&lt;0,"-",(1-EnrlAll!AP15/'Enrl-BackSeries'!I15)*100)</f>
        <v>45.475830611859323</v>
      </c>
      <c r="J15" s="45">
        <f>IF('Enrl-BackSeries'!J15-EnrlAll!AQ15&lt;0,"-",(1-EnrlAll!AQ15/'Enrl-BackSeries'!J15)*100)</f>
        <v>42.607561718395651</v>
      </c>
      <c r="K15" s="45">
        <f>IF('Enrl-BackSeries'!K15-EnrlAll!AR15&lt;0,"-",(1-EnrlAll!AR15/'Enrl-BackSeries'!K15)*100)</f>
        <v>44.172298540866059</v>
      </c>
      <c r="L15" s="45" t="str">
        <f>IF('Enrl-BackSeries'!L15-EnrlSC!R15&lt;=0,"-",(1-EnrlSC!R15/'Enrl-BackSeries'!L15)*100)</f>
        <v>-</v>
      </c>
      <c r="M15" s="45" t="str">
        <f>IF('Enrl-BackSeries'!M15-EnrlSC!S15&lt;=0,"-",(1-EnrlSC!S15/'Enrl-BackSeries'!M15)*100)</f>
        <v>-</v>
      </c>
      <c r="N15" s="45" t="str">
        <f>IF('Enrl-BackSeries'!N15-EnrlSC!T15&lt;=0,"-",(1-EnrlSC!T15/'Enrl-BackSeries'!N15)*100)</f>
        <v>-</v>
      </c>
      <c r="O15" s="45">
        <f>IF('Enrl-BackSeries'!O15-EnrlSC!AD15&lt;=0,"-",(1-EnrlSC!AD15/'Enrl-BackSeries'!O15)*100)</f>
        <v>4.4146079484425389</v>
      </c>
      <c r="P15" s="45" t="str">
        <f>IF('Enrl-BackSeries'!P15-EnrlSC!AE15&lt;=0,"-",(1-EnrlSC!AE15/'Enrl-BackSeries'!P15)*100)</f>
        <v>-</v>
      </c>
      <c r="Q15" s="45" t="str">
        <f>IF('Enrl-BackSeries'!Q15-EnrlSC!AF15&lt;=0,"-",(1-EnrlSC!AF15/'Enrl-BackSeries'!Q15)*100)</f>
        <v>-</v>
      </c>
      <c r="R15" s="45">
        <f>IF('Enrl-BackSeries'!R15-EnrlSC!AP15&lt;=0,"-",(1-EnrlSC!AP15/'Enrl-BackSeries'!R15)*100)</f>
        <v>60.162423178226511</v>
      </c>
      <c r="S15" s="45">
        <f>IF('Enrl-BackSeries'!S15-EnrlSC!AQ15&lt;=0,"-",(1-EnrlSC!AQ15/'Enrl-BackSeries'!S15)*100)</f>
        <v>59.19663548193288</v>
      </c>
      <c r="T15" s="45">
        <f>IF('Enrl-BackSeries'!T15-EnrlSC!AR15&lt;=0,"-",(1-EnrlSC!AR15/'Enrl-BackSeries'!T15)*100)</f>
        <v>59.717998341166712</v>
      </c>
      <c r="U15" s="45">
        <f>IF('Enrl-BackSeries'!U15-EnrlST!R15&lt;=0,"-",(1-EnrlST!R15/'Enrl-BackSeries'!U15)*100)</f>
        <v>27.941022691623964</v>
      </c>
      <c r="V15" s="45">
        <f>IF('Enrl-BackSeries'!V15-EnrlST!S15&lt;=0,"-",(1-EnrlST!S15/'Enrl-BackSeries'!V15)*100)</f>
        <v>31.883530482256596</v>
      </c>
      <c r="W15" s="45">
        <f>IF('Enrl-BackSeries'!W15-EnrlST!T15&lt;=0,"-",(1-EnrlST!T15/'Enrl-BackSeries'!W15)*100)</f>
        <v>29.766083513521103</v>
      </c>
      <c r="X15" s="45">
        <f>IF('Enrl-BackSeries'!X15-EnrlST!AD15&lt;=0,"-",(1-EnrlST!AD15/'Enrl-BackSeries'!X15)*100)</f>
        <v>57.373381568926128</v>
      </c>
      <c r="Y15" s="45">
        <f>IF('Enrl-BackSeries'!Y15-EnrlST!AE15&lt;=0,"-",(1-EnrlST!AE15/'Enrl-BackSeries'!Y15)*100)</f>
        <v>67.189384800965016</v>
      </c>
      <c r="Z15" s="45">
        <f>IF('Enrl-BackSeries'!Z15-EnrlST!AF15&lt;=0,"-",(1-EnrlST!AF15/'Enrl-BackSeries'!Z15)*100)</f>
        <v>61.703203149941466</v>
      </c>
      <c r="AA15" s="45">
        <f>IF('Enrl-BackSeries'!AA15-EnrlST!AP15&lt;=0,"-",(1-EnrlST!AP15/'Enrl-BackSeries'!AA15)*100)</f>
        <v>79.478644099582723</v>
      </c>
      <c r="AB15" s="45">
        <f>IF('Enrl-BackSeries'!AB15-EnrlST!AQ15&lt;=0,"-",(1-EnrlST!AQ15/'Enrl-BackSeries'!AB15)*100)</f>
        <v>84.58152400214145</v>
      </c>
      <c r="AC15" s="45">
        <f>IF('Enrl-BackSeries'!AC15-EnrlST!AR15&lt;=0,"-",(1-EnrlST!AR15/'Enrl-BackSeries'!AC15)*100)</f>
        <v>81.7278447823807</v>
      </c>
    </row>
    <row r="16" spans="1:29" s="35" customFormat="1" ht="18.75" customHeight="1">
      <c r="A16" s="25">
        <v>11</v>
      </c>
      <c r="B16" s="26" t="s">
        <v>52</v>
      </c>
      <c r="C16" s="45">
        <f>IF('Enrl-BackSeries'!C16-EnrlAll!R16&lt;0,"-",(1-EnrlAll!R16/'Enrl-BackSeries'!C16)*100)</f>
        <v>42.635094795048467</v>
      </c>
      <c r="D16" s="45">
        <f>IF('Enrl-BackSeries'!D16-EnrlAll!S16&lt;0,"-",(1-EnrlAll!S16/'Enrl-BackSeries'!D16)*100)</f>
        <v>43.204581672533138</v>
      </c>
      <c r="E16" s="45">
        <f>IF('Enrl-BackSeries'!E16-EnrlAll!T16&lt;0,"-",(1-EnrlAll!T16/'Enrl-BackSeries'!E16)*100)</f>
        <v>42.918360973473838</v>
      </c>
      <c r="F16" s="45">
        <f>IF('Enrl-BackSeries'!F16-EnrlAll!AD16&lt;0,"-",(1-EnrlAll!AD16/'Enrl-BackSeries'!F16)*100)</f>
        <v>54.157534875785771</v>
      </c>
      <c r="G16" s="45">
        <f>IF('Enrl-BackSeries'!G16-EnrlAll!AE16&lt;0,"-",(1-EnrlAll!AE16/'Enrl-BackSeries'!G16)*100)</f>
        <v>49.457111421599045</v>
      </c>
      <c r="H16" s="45">
        <f>IF('Enrl-BackSeries'!H16-EnrlAll!AF16&lt;0,"-",(1-EnrlAll!AF16/'Enrl-BackSeries'!H16)*100)</f>
        <v>51.981796234128971</v>
      </c>
      <c r="I16" s="45">
        <f>IF('Enrl-BackSeries'!I16-EnrlAll!AP16&lt;0,"-",(1-EnrlAll!AP16/'Enrl-BackSeries'!I16)*100)</f>
        <v>70.892194974401491</v>
      </c>
      <c r="J16" s="45">
        <f>IF('Enrl-BackSeries'!J16-EnrlAll!AQ16&lt;0,"-",(1-EnrlAll!AQ16/'Enrl-BackSeries'!J16)*100)</f>
        <v>70.565360585602832</v>
      </c>
      <c r="K16" s="45">
        <f>IF('Enrl-BackSeries'!K16-EnrlAll!AR16&lt;0,"-",(1-EnrlAll!AR16/'Enrl-BackSeries'!K16)*100)</f>
        <v>70.741721013598408</v>
      </c>
      <c r="L16" s="45">
        <f>IF('Enrl-BackSeries'!L16-EnrlSC!R16&lt;=0,"-",(1-EnrlSC!R16/'Enrl-BackSeries'!L16)*100)</f>
        <v>45.719344198680631</v>
      </c>
      <c r="M16" s="45">
        <f>IF('Enrl-BackSeries'!M16-EnrlSC!S16&lt;=0,"-",(1-EnrlSC!S16/'Enrl-BackSeries'!M16)*100)</f>
        <v>47.919134163773734</v>
      </c>
      <c r="N16" s="45">
        <f>IF('Enrl-BackSeries'!N16-EnrlSC!T16&lt;=0,"-",(1-EnrlSC!T16/'Enrl-BackSeries'!N16)*100)</f>
        <v>46.813559184303656</v>
      </c>
      <c r="O16" s="45">
        <f>IF('Enrl-BackSeries'!O16-EnrlSC!AD16&lt;=0,"-",(1-EnrlSC!AD16/'Enrl-BackSeries'!O16)*100)</f>
        <v>54.7633955448525</v>
      </c>
      <c r="P16" s="45">
        <f>IF('Enrl-BackSeries'!P16-EnrlSC!AE16&lt;=0,"-",(1-EnrlSC!AE16/'Enrl-BackSeries'!P16)*100)</f>
        <v>48.921968035098715</v>
      </c>
      <c r="Q16" s="45">
        <f>IF('Enrl-BackSeries'!Q16-EnrlSC!AF16&lt;=0,"-",(1-EnrlSC!AF16/'Enrl-BackSeries'!Q16)*100)</f>
        <v>52.225097024579561</v>
      </c>
      <c r="R16" s="45">
        <f>IF('Enrl-BackSeries'!R16-EnrlSC!AP16&lt;=0,"-",(1-EnrlSC!AP16/'Enrl-BackSeries'!R16)*100)</f>
        <v>76.698979850784141</v>
      </c>
      <c r="S16" s="45">
        <f>IF('Enrl-BackSeries'!S16-EnrlSC!AQ16&lt;=0,"-",(1-EnrlSC!AQ16/'Enrl-BackSeries'!S16)*100)</f>
        <v>76.293662614711948</v>
      </c>
      <c r="T16" s="45">
        <f>IF('Enrl-BackSeries'!T16-EnrlSC!AR16&lt;=0,"-",(1-EnrlSC!AR16/'Enrl-BackSeries'!T16)*100)</f>
        <v>76.519812249116811</v>
      </c>
      <c r="U16" s="45">
        <f>IF('Enrl-BackSeries'!U16-EnrlST!R16&lt;=0,"-",(1-EnrlST!R16/'Enrl-BackSeries'!U16)*100)</f>
        <v>48.489454166634275</v>
      </c>
      <c r="V16" s="45">
        <f>IF('Enrl-BackSeries'!V16-EnrlST!S16&lt;=0,"-",(1-EnrlST!S16/'Enrl-BackSeries'!V16)*100)</f>
        <v>50.407779296140063</v>
      </c>
      <c r="W16" s="45">
        <f>IF('Enrl-BackSeries'!W16-EnrlST!T16&lt;=0,"-",(1-EnrlST!T16/'Enrl-BackSeries'!W16)*100)</f>
        <v>49.439597585355187</v>
      </c>
      <c r="X16" s="45">
        <f>IF('Enrl-BackSeries'!X16-EnrlST!AD16&lt;=0,"-",(1-EnrlST!AD16/'Enrl-BackSeries'!X16)*100)</f>
        <v>63.895954166434898</v>
      </c>
      <c r="Y16" s="45">
        <f>IF('Enrl-BackSeries'!Y16-EnrlST!AE16&lt;=0,"-",(1-EnrlST!AE16/'Enrl-BackSeries'!Y16)*100)</f>
        <v>58.35036442430809</v>
      </c>
      <c r="Z16" s="45">
        <f>IF('Enrl-BackSeries'!Z16-EnrlST!AF16&lt;=0,"-",(1-EnrlST!AF16/'Enrl-BackSeries'!Z16)*100)</f>
        <v>61.39497566676939</v>
      </c>
      <c r="AA16" s="45">
        <f>IF('Enrl-BackSeries'!AA16-EnrlST!AP16&lt;=0,"-",(1-EnrlST!AP16/'Enrl-BackSeries'!AA16)*100)</f>
        <v>79.344968577718959</v>
      </c>
      <c r="AB16" s="45">
        <f>IF('Enrl-BackSeries'!AB16-EnrlST!AQ16&lt;=0,"-",(1-EnrlST!AQ16/'Enrl-BackSeries'!AB16)*100)</f>
        <v>77.042278101775779</v>
      </c>
      <c r="AC16" s="45">
        <f>IF('Enrl-BackSeries'!AC16-EnrlST!AR16&lt;=0,"-",(1-EnrlST!AR16/'Enrl-BackSeries'!AC16)*100)</f>
        <v>78.31022550150476</v>
      </c>
    </row>
    <row r="17" spans="1:29" s="35" customFormat="1" ht="18.75" customHeight="1">
      <c r="A17" s="25">
        <v>12</v>
      </c>
      <c r="B17" s="26" t="s">
        <v>25</v>
      </c>
      <c r="C17" s="45">
        <f>IF('Enrl-BackSeries'!C17-EnrlAll!R17&lt;0,"-",(1-EnrlAll!R17/'Enrl-BackSeries'!C17)*100)</f>
        <v>4.3414439966164124</v>
      </c>
      <c r="D17" s="45">
        <f>IF('Enrl-BackSeries'!D17-EnrlAll!S17&lt;0,"-",(1-EnrlAll!S17/'Enrl-BackSeries'!D17)*100)</f>
        <v>4.1905477946220016</v>
      </c>
      <c r="E17" s="45">
        <f>IF('Enrl-BackSeries'!E17-EnrlAll!T17&lt;0,"-",(1-EnrlAll!T17/'Enrl-BackSeries'!E17)*100)</f>
        <v>4.2686933568803269</v>
      </c>
      <c r="F17" s="45">
        <f>IF('Enrl-BackSeries'!F17-EnrlAll!AD17&lt;0,"-",(1-EnrlAll!AD17/'Enrl-BackSeries'!F17)*100)</f>
        <v>12.966976966599997</v>
      </c>
      <c r="G17" s="45">
        <f>IF('Enrl-BackSeries'!G17-EnrlAll!AE17&lt;0,"-",(1-EnrlAll!AE17/'Enrl-BackSeries'!G17)*100)</f>
        <v>13.822023785885429</v>
      </c>
      <c r="H17" s="45">
        <f>IF('Enrl-BackSeries'!H17-EnrlAll!AF17&lt;0,"-",(1-EnrlAll!AF17/'Enrl-BackSeries'!H17)*100)</f>
        <v>13.377352411292486</v>
      </c>
      <c r="I17" s="45">
        <f>IF('Enrl-BackSeries'!I17-EnrlAll!AP17&lt;0,"-",(1-EnrlAll!AP17/'Enrl-BackSeries'!I17)*100)</f>
        <v>37.862219998821125</v>
      </c>
      <c r="J17" s="45">
        <f>IF('Enrl-BackSeries'!J17-EnrlAll!AQ17&lt;0,"-",(1-EnrlAll!AQ17/'Enrl-BackSeries'!J17)*100)</f>
        <v>36.609431351645604</v>
      </c>
      <c r="K17" s="45">
        <f>IF('Enrl-BackSeries'!K17-EnrlAll!AR17&lt;0,"-",(1-EnrlAll!AR17/'Enrl-BackSeries'!K17)*100)</f>
        <v>37.257588162021534</v>
      </c>
      <c r="L17" s="45">
        <f>IF('Enrl-BackSeries'!L17-EnrlSC!R17&lt;=0,"-",(1-EnrlSC!R17/'Enrl-BackSeries'!L17)*100)</f>
        <v>8.3578384412252298</v>
      </c>
      <c r="M17" s="45">
        <f>IF('Enrl-BackSeries'!M17-EnrlSC!S17&lt;=0,"-",(1-EnrlSC!S17/'Enrl-BackSeries'!M17)*100)</f>
        <v>8.3248604198997498</v>
      </c>
      <c r="N17" s="45">
        <f>IF('Enrl-BackSeries'!N17-EnrlSC!T17&lt;=0,"-",(1-EnrlSC!T17/'Enrl-BackSeries'!N17)*100)</f>
        <v>8.3419120022397824</v>
      </c>
      <c r="O17" s="45">
        <f>IF('Enrl-BackSeries'!O17-EnrlSC!AD17&lt;=0,"-",(1-EnrlSC!AD17/'Enrl-BackSeries'!O17)*100)</f>
        <v>21.321379165426301</v>
      </c>
      <c r="P17" s="45">
        <f>IF('Enrl-BackSeries'!P17-EnrlSC!AE17&lt;=0,"-",(1-EnrlSC!AE17/'Enrl-BackSeries'!P17)*100)</f>
        <v>24.054064446666157</v>
      </c>
      <c r="Q17" s="45">
        <f>IF('Enrl-BackSeries'!Q17-EnrlSC!AF17&lt;=0,"-",(1-EnrlSC!AF17/'Enrl-BackSeries'!Q17)*100)</f>
        <v>22.623924339482581</v>
      </c>
      <c r="R17" s="45">
        <f>IF('Enrl-BackSeries'!R17-EnrlSC!AP17&lt;=0,"-",(1-EnrlSC!AP17/'Enrl-BackSeries'!R17)*100)</f>
        <v>48.558013246026569</v>
      </c>
      <c r="S17" s="45">
        <f>IF('Enrl-BackSeries'!S17-EnrlSC!AQ17&lt;=0,"-",(1-EnrlSC!AQ17/'Enrl-BackSeries'!S17)*100)</f>
        <v>50.272413656370198</v>
      </c>
      <c r="T17" s="45">
        <f>IF('Enrl-BackSeries'!T17-EnrlSC!AR17&lt;=0,"-",(1-EnrlSC!AR17/'Enrl-BackSeries'!T17)*100)</f>
        <v>49.391329822911288</v>
      </c>
      <c r="U17" s="45">
        <f>IF('Enrl-BackSeries'!U17-EnrlST!R17&lt;=0,"-",(1-EnrlST!R17/'Enrl-BackSeries'!U17)*100)</f>
        <v>1.1297017416235233</v>
      </c>
      <c r="V17" s="45">
        <f>IF('Enrl-BackSeries'!V17-EnrlST!S17&lt;=0,"-",(1-EnrlST!S17/'Enrl-BackSeries'!V17)*100)</f>
        <v>1.2315438524869049</v>
      </c>
      <c r="W17" s="45">
        <f>IF('Enrl-BackSeries'!W17-EnrlST!T17&lt;=0,"-",(1-EnrlST!T17/'Enrl-BackSeries'!W17)*100)</f>
        <v>1.1791388213015619</v>
      </c>
      <c r="X17" s="45">
        <f>IF('Enrl-BackSeries'!X17-EnrlST!AD17&lt;=0,"-",(1-EnrlST!AD17/'Enrl-BackSeries'!X17)*100)</f>
        <v>18.488118090951211</v>
      </c>
      <c r="Y17" s="45">
        <f>IF('Enrl-BackSeries'!Y17-EnrlST!AE17&lt;=0,"-",(1-EnrlST!AE17/'Enrl-BackSeries'!Y17)*100)</f>
        <v>23.508389936809216</v>
      </c>
      <c r="Z17" s="45">
        <f>IF('Enrl-BackSeries'!Z17-EnrlST!AF17&lt;=0,"-",(1-EnrlST!AF17/'Enrl-BackSeries'!Z17)*100)</f>
        <v>20.910315847169247</v>
      </c>
      <c r="AA17" s="45">
        <f>IF('Enrl-BackSeries'!AA17-EnrlST!AP17&lt;=0,"-",(1-EnrlST!AP17/'Enrl-BackSeries'!AA17)*100)</f>
        <v>45.557058191798262</v>
      </c>
      <c r="AB17" s="45">
        <f>IF('Enrl-BackSeries'!AB17-EnrlST!AQ17&lt;=0,"-",(1-EnrlST!AQ17/'Enrl-BackSeries'!AB17)*100)</f>
        <v>48.119191621183063</v>
      </c>
      <c r="AC17" s="45">
        <f>IF('Enrl-BackSeries'!AC17-EnrlST!AR17&lt;=0,"-",(1-EnrlST!AR17/'Enrl-BackSeries'!AC17)*100)</f>
        <v>46.801043638409986</v>
      </c>
    </row>
    <row r="18" spans="1:29" s="35" customFormat="1" ht="18.75" customHeight="1">
      <c r="A18" s="25">
        <v>13</v>
      </c>
      <c r="B18" s="26" t="s">
        <v>26</v>
      </c>
      <c r="C18" s="45" t="str">
        <f>IF('Enrl-BackSeries'!C18-EnrlAll!R18&lt;0,"-",(1-EnrlAll!R18/'Enrl-BackSeries'!C18)*100)</f>
        <v>-</v>
      </c>
      <c r="D18" s="45" t="str">
        <f>IF('Enrl-BackSeries'!D18-EnrlAll!S18&lt;0,"-",(1-EnrlAll!S18/'Enrl-BackSeries'!D18)*100)</f>
        <v>-</v>
      </c>
      <c r="E18" s="45" t="str">
        <f>IF('Enrl-BackSeries'!E18-EnrlAll!T18&lt;0,"-",(1-EnrlAll!T18/'Enrl-BackSeries'!E18)*100)</f>
        <v>-</v>
      </c>
      <c r="F18" s="45" t="str">
        <f>IF('Enrl-BackSeries'!F18-EnrlAll!AD18&lt;0,"-",(1-EnrlAll!AD18/'Enrl-BackSeries'!F18)*100)</f>
        <v>-</v>
      </c>
      <c r="G18" s="45" t="str">
        <f>IF('Enrl-BackSeries'!G18-EnrlAll!AE18&lt;0,"-",(1-EnrlAll!AE18/'Enrl-BackSeries'!G18)*100)</f>
        <v>-</v>
      </c>
      <c r="H18" s="45" t="str">
        <f>IF('Enrl-BackSeries'!H18-EnrlAll!AF18&lt;0,"-",(1-EnrlAll!AF18/'Enrl-BackSeries'!H18)*100)</f>
        <v>-</v>
      </c>
      <c r="I18" s="45" t="str">
        <f>IF('Enrl-BackSeries'!I18-EnrlAll!AP18&lt;0,"-",(1-EnrlAll!AP18/'Enrl-BackSeries'!I18)*100)</f>
        <v>-</v>
      </c>
      <c r="J18" s="45" t="str">
        <f>IF('Enrl-BackSeries'!J18-EnrlAll!AQ18&lt;0,"-",(1-EnrlAll!AQ18/'Enrl-BackSeries'!J18)*100)</f>
        <v>-</v>
      </c>
      <c r="K18" s="45" t="str">
        <f>IF('Enrl-BackSeries'!K18-EnrlAll!AR18&lt;0,"-",(1-EnrlAll!AR18/'Enrl-BackSeries'!K18)*100)</f>
        <v>-</v>
      </c>
      <c r="L18" s="45" t="str">
        <f>IF('Enrl-BackSeries'!L18-EnrlSC!R18&lt;=0,"-",(1-EnrlSC!R18/'Enrl-BackSeries'!L18)*100)</f>
        <v>-</v>
      </c>
      <c r="M18" s="45" t="str">
        <f>IF('Enrl-BackSeries'!M18-EnrlSC!S18&lt;=0,"-",(1-EnrlSC!S18/'Enrl-BackSeries'!M18)*100)</f>
        <v>-</v>
      </c>
      <c r="N18" s="45" t="str">
        <f>IF('Enrl-BackSeries'!N18-EnrlSC!T18&lt;=0,"-",(1-EnrlSC!T18/'Enrl-BackSeries'!N18)*100)</f>
        <v>-</v>
      </c>
      <c r="O18" s="45" t="str">
        <f>IF('Enrl-BackSeries'!O18-EnrlSC!AD18&lt;=0,"-",(1-EnrlSC!AD18/'Enrl-BackSeries'!O18)*100)</f>
        <v>-</v>
      </c>
      <c r="P18" s="45" t="str">
        <f>IF('Enrl-BackSeries'!P18-EnrlSC!AE18&lt;=0,"-",(1-EnrlSC!AE18/'Enrl-BackSeries'!P18)*100)</f>
        <v>-</v>
      </c>
      <c r="Q18" s="45" t="str">
        <f>IF('Enrl-BackSeries'!Q18-EnrlSC!AF18&lt;=0,"-",(1-EnrlSC!AF18/'Enrl-BackSeries'!Q18)*100)</f>
        <v>-</v>
      </c>
      <c r="R18" s="45">
        <f>IF('Enrl-BackSeries'!R18-EnrlSC!AP18&lt;=0,"-",(1-EnrlSC!AP18/'Enrl-BackSeries'!R18)*100)</f>
        <v>5.9526819577388483</v>
      </c>
      <c r="S18" s="45">
        <f>IF('Enrl-BackSeries'!S18-EnrlSC!AQ18&lt;=0,"-",(1-EnrlSC!AQ18/'Enrl-BackSeries'!S18)*100)</f>
        <v>2.2011978789150399</v>
      </c>
      <c r="T18" s="45">
        <f>IF('Enrl-BackSeries'!T18-EnrlSC!AR18&lt;=0,"-",(1-EnrlSC!AR18/'Enrl-BackSeries'!T18)*100)</f>
        <v>4.1281680210768501</v>
      </c>
      <c r="U18" s="45" t="str">
        <f>IF('Enrl-BackSeries'!U18-EnrlST!R18&lt;=0,"-",(1-EnrlST!R18/'Enrl-BackSeries'!U18)*100)</f>
        <v>-</v>
      </c>
      <c r="V18" s="45" t="str">
        <f>IF('Enrl-BackSeries'!V18-EnrlST!S18&lt;=0,"-",(1-EnrlST!S18/'Enrl-BackSeries'!V18)*100)</f>
        <v>-</v>
      </c>
      <c r="W18" s="45" t="str">
        <f>IF('Enrl-BackSeries'!W18-EnrlST!T18&lt;=0,"-",(1-EnrlST!T18/'Enrl-BackSeries'!W18)*100)</f>
        <v>-</v>
      </c>
      <c r="X18" s="45" t="str">
        <f>IF('Enrl-BackSeries'!X18-EnrlST!AD18&lt;=0,"-",(1-EnrlST!AD18/'Enrl-BackSeries'!X18)*100)</f>
        <v>-</v>
      </c>
      <c r="Y18" s="45" t="str">
        <f>IF('Enrl-BackSeries'!Y18-EnrlST!AE18&lt;=0,"-",(1-EnrlST!AE18/'Enrl-BackSeries'!Y18)*100)</f>
        <v>-</v>
      </c>
      <c r="Z18" s="45" t="str">
        <f>IF('Enrl-BackSeries'!Z18-EnrlST!AF18&lt;=0,"-",(1-EnrlST!AF18/'Enrl-BackSeries'!Z18)*100)</f>
        <v>-</v>
      </c>
      <c r="AA18" s="45">
        <f>IF('Enrl-BackSeries'!AA18-EnrlST!AP18&lt;=0,"-",(1-EnrlST!AP18/'Enrl-BackSeries'!AA18)*100)</f>
        <v>34.255319148936167</v>
      </c>
      <c r="AB18" s="45">
        <f>IF('Enrl-BackSeries'!AB18-EnrlST!AQ18&lt;=0,"-",(1-EnrlST!AQ18/'Enrl-BackSeries'!AB18)*100)</f>
        <v>25.312261024725981</v>
      </c>
      <c r="AC18" s="45">
        <f>IF('Enrl-BackSeries'!AC18-EnrlST!AR18&lt;=0,"-",(1-EnrlST!AR18/'Enrl-BackSeries'!AC18)*100)</f>
        <v>29.952164847295471</v>
      </c>
    </row>
    <row r="19" spans="1:29" s="35" customFormat="1" ht="18.75" customHeight="1">
      <c r="A19" s="25">
        <v>14</v>
      </c>
      <c r="B19" s="26" t="s">
        <v>27</v>
      </c>
      <c r="C19" s="45">
        <f>IF('Enrl-BackSeries'!C19-EnrlAll!R19&lt;0,"-",(1-EnrlAll!R19/'Enrl-BackSeries'!C19)*100)</f>
        <v>31.230839953660084</v>
      </c>
      <c r="D19" s="45">
        <f>IF('Enrl-BackSeries'!D19-EnrlAll!S19&lt;0,"-",(1-EnrlAll!S19/'Enrl-BackSeries'!D19)*100)</f>
        <v>23.099098438876574</v>
      </c>
      <c r="E19" s="45">
        <f>IF('Enrl-BackSeries'!E19-EnrlAll!T19&lt;0,"-",(1-EnrlAll!T19/'Enrl-BackSeries'!E19)*100)</f>
        <v>27.394023857363958</v>
      </c>
      <c r="F19" s="45">
        <f>IF('Enrl-BackSeries'!F19-EnrlAll!AD19&lt;0,"-",(1-EnrlAll!AD19/'Enrl-BackSeries'!F19)*100)</f>
        <v>46.370417320236257</v>
      </c>
      <c r="G19" s="45">
        <f>IF('Enrl-BackSeries'!G19-EnrlAll!AE19&lt;0,"-",(1-EnrlAll!AE19/'Enrl-BackSeries'!G19)*100)</f>
        <v>43.308353657595042</v>
      </c>
      <c r="H19" s="45">
        <f>IF('Enrl-BackSeries'!H19-EnrlAll!AF19&lt;0,"-",(1-EnrlAll!AF19/'Enrl-BackSeries'!H19)*100)</f>
        <v>44.924748057070616</v>
      </c>
      <c r="I19" s="45">
        <f>IF('Enrl-BackSeries'!I19-EnrlAll!AP19&lt;0,"-",(1-EnrlAll!AP19/'Enrl-BackSeries'!I19)*100)</f>
        <v>32.031228595820039</v>
      </c>
      <c r="J19" s="45">
        <f>IF('Enrl-BackSeries'!J19-EnrlAll!AQ19&lt;0,"-",(1-EnrlAll!AQ19/'Enrl-BackSeries'!J19)*100)</f>
        <v>53.662463205452923</v>
      </c>
      <c r="K19" s="45">
        <f>IF('Enrl-BackSeries'!K19-EnrlAll!AR19&lt;0,"-",(1-EnrlAll!AR19/'Enrl-BackSeries'!K19)*100)</f>
        <v>42.256608147800158</v>
      </c>
      <c r="L19" s="45">
        <f>IF('Enrl-BackSeries'!L19-EnrlSC!R19&lt;=0,"-",(1-EnrlSC!R19/'Enrl-BackSeries'!L19)*100)</f>
        <v>7.3815374603067756</v>
      </c>
      <c r="M19" s="45">
        <f>IF('Enrl-BackSeries'!M19-EnrlSC!S19&lt;=0,"-",(1-EnrlSC!S19/'Enrl-BackSeries'!M19)*100)</f>
        <v>4.8549030394718695</v>
      </c>
      <c r="N19" s="45">
        <f>IF('Enrl-BackSeries'!N19-EnrlSC!T19&lt;=0,"-",(1-EnrlSC!T19/'Enrl-BackSeries'!N19)*100)</f>
        <v>6.1316074455840752</v>
      </c>
      <c r="O19" s="45">
        <f>IF('Enrl-BackSeries'!O19-EnrlSC!AD19&lt;=0,"-",(1-EnrlSC!AD19/'Enrl-BackSeries'!O19)*100)</f>
        <v>47.732273491227076</v>
      </c>
      <c r="P19" s="45">
        <f>IF('Enrl-BackSeries'!P19-EnrlSC!AE19&lt;=0,"-",(1-EnrlSC!AE19/'Enrl-BackSeries'!P19)*100)</f>
        <v>42.71036913916236</v>
      </c>
      <c r="Q19" s="45">
        <f>IF('Enrl-BackSeries'!Q19-EnrlSC!AF19&lt;=0,"-",(1-EnrlSC!AF19/'Enrl-BackSeries'!Q19)*100)</f>
        <v>45.368798380476314</v>
      </c>
      <c r="R19" s="45">
        <f>IF('Enrl-BackSeries'!R19-EnrlSC!AP19&lt;=0,"-",(1-EnrlSC!AP19/'Enrl-BackSeries'!R19)*100)</f>
        <v>33.543330821401661</v>
      </c>
      <c r="S19" s="45">
        <f>IF('Enrl-BackSeries'!S19-EnrlSC!AQ19&lt;=0,"-",(1-EnrlSC!AQ19/'Enrl-BackSeries'!S19)*100)</f>
        <v>49.361818716420302</v>
      </c>
      <c r="T19" s="45">
        <f>IF('Enrl-BackSeries'!T19-EnrlSC!AR19&lt;=0,"-",(1-EnrlSC!AR19/'Enrl-BackSeries'!T19)*100)</f>
        <v>41.045705646886553</v>
      </c>
      <c r="U19" s="45">
        <f>IF('Enrl-BackSeries'!U19-EnrlST!R19&lt;=0,"-",(1-EnrlST!R19/'Enrl-BackSeries'!U19)*100)</f>
        <v>31.709897307424594</v>
      </c>
      <c r="V19" s="45">
        <f>IF('Enrl-BackSeries'!V19-EnrlST!S19&lt;=0,"-",(1-EnrlST!S19/'Enrl-BackSeries'!V19)*100)</f>
        <v>23.53452533833844</v>
      </c>
      <c r="W19" s="45">
        <f>IF('Enrl-BackSeries'!W19-EnrlST!T19&lt;=0,"-",(1-EnrlST!T19/'Enrl-BackSeries'!W19)*100)</f>
        <v>27.767783566128777</v>
      </c>
      <c r="X19" s="45">
        <f>IF('Enrl-BackSeries'!X19-EnrlST!AD19&lt;=0,"-",(1-EnrlST!AD19/'Enrl-BackSeries'!X19)*100)</f>
        <v>61.366194046470191</v>
      </c>
      <c r="Y19" s="45">
        <f>IF('Enrl-BackSeries'!Y19-EnrlST!AE19&lt;=0,"-",(1-EnrlST!AE19/'Enrl-BackSeries'!Y19)*100)</f>
        <v>57.254055088379907</v>
      </c>
      <c r="Z19" s="45">
        <f>IF('Enrl-BackSeries'!Z19-EnrlST!AF19&lt;=0,"-",(1-EnrlST!AF19/'Enrl-BackSeries'!Z19)*100)</f>
        <v>59.454238106737499</v>
      </c>
      <c r="AA19" s="45">
        <f>IF('Enrl-BackSeries'!AA19-EnrlST!AP19&lt;=0,"-",(1-EnrlST!AP19/'Enrl-BackSeries'!AA19)*100)</f>
        <v>55.3560245335348</v>
      </c>
      <c r="AB19" s="45">
        <f>IF('Enrl-BackSeries'!AB19-EnrlST!AQ19&lt;=0,"-",(1-EnrlST!AQ19/'Enrl-BackSeries'!AB19)*100)</f>
        <v>71.697693518581886</v>
      </c>
      <c r="AC19" s="45">
        <f>IF('Enrl-BackSeries'!AC19-EnrlST!AR19&lt;=0,"-",(1-EnrlST!AR19/'Enrl-BackSeries'!AC19)*100)</f>
        <v>62.965638495084008</v>
      </c>
    </row>
    <row r="20" spans="1:29" s="35" customFormat="1" ht="18.75" customHeight="1">
      <c r="A20" s="25">
        <v>15</v>
      </c>
      <c r="B20" s="26" t="s">
        <v>28</v>
      </c>
      <c r="C20" s="45">
        <f>IF('Enrl-BackSeries'!C20-EnrlAll!R20&lt;0,"-",(1-EnrlAll!R20/'Enrl-BackSeries'!C20)*100)</f>
        <v>8.9620021481702121</v>
      </c>
      <c r="D20" s="45">
        <f>IF('Enrl-BackSeries'!D20-EnrlAll!S20&lt;0,"-",(1-EnrlAll!S20/'Enrl-BackSeries'!D20)*100)</f>
        <v>10.162280498430931</v>
      </c>
      <c r="E20" s="45">
        <f>IF('Enrl-BackSeries'!E20-EnrlAll!T20&lt;0,"-",(1-EnrlAll!T20/'Enrl-BackSeries'!E20)*100)</f>
        <v>9.5252555791892632</v>
      </c>
      <c r="F20" s="45">
        <f>IF('Enrl-BackSeries'!F20-EnrlAll!AD20&lt;0,"-",(1-EnrlAll!AD20/'Enrl-BackSeries'!F20)*100)</f>
        <v>24.275245123204282</v>
      </c>
      <c r="G20" s="45">
        <f>IF('Enrl-BackSeries'!G20-EnrlAll!AE20&lt;0,"-",(1-EnrlAll!AE20/'Enrl-BackSeries'!G20)*100)</f>
        <v>29.010888261789315</v>
      </c>
      <c r="H20" s="45">
        <f>IF('Enrl-BackSeries'!H20-EnrlAll!AF20&lt;0,"-",(1-EnrlAll!AF20/'Enrl-BackSeries'!H20)*100)</f>
        <v>26.541583342189078</v>
      </c>
      <c r="I20" s="45">
        <f>IF('Enrl-BackSeries'!I20-EnrlAll!AP20&lt;0,"-",(1-EnrlAll!AP20/'Enrl-BackSeries'!I20)*100)</f>
        <v>35.860536301401154</v>
      </c>
      <c r="J20" s="45">
        <f>IF('Enrl-BackSeries'!J20-EnrlAll!AQ20&lt;0,"-",(1-EnrlAll!AQ20/'Enrl-BackSeries'!J20)*100)</f>
        <v>38.803320420586608</v>
      </c>
      <c r="K20" s="45">
        <f>IF('Enrl-BackSeries'!K20-EnrlAll!AR20&lt;0,"-",(1-EnrlAll!AR20/'Enrl-BackSeries'!K20)*100)</f>
        <v>37.258909006452654</v>
      </c>
      <c r="L20" s="45">
        <f>IF('Enrl-BackSeries'!L20-EnrlSC!R20&lt;=0,"-",(1-EnrlSC!R20/'Enrl-BackSeries'!L20)*100)</f>
        <v>11.925234491308112</v>
      </c>
      <c r="M20" s="45">
        <f>IF('Enrl-BackSeries'!M20-EnrlSC!S20&lt;=0,"-",(1-EnrlSC!S20/'Enrl-BackSeries'!M20)*100)</f>
        <v>12.441692084912347</v>
      </c>
      <c r="N20" s="45">
        <f>IF('Enrl-BackSeries'!N20-EnrlSC!T20&lt;=0,"-",(1-EnrlSC!T20/'Enrl-BackSeries'!N20)*100)</f>
        <v>12.172512273413894</v>
      </c>
      <c r="O20" s="45">
        <f>IF('Enrl-BackSeries'!O20-EnrlSC!AD20&lt;=0,"-",(1-EnrlSC!AD20/'Enrl-BackSeries'!O20)*100)</f>
        <v>27.316178397358627</v>
      </c>
      <c r="P20" s="45">
        <f>IF('Enrl-BackSeries'!P20-EnrlSC!AE20&lt;=0,"-",(1-EnrlSC!AE20/'Enrl-BackSeries'!P20)*100)</f>
        <v>31.310708180365999</v>
      </c>
      <c r="Q20" s="45">
        <f>IF('Enrl-BackSeries'!Q20-EnrlSC!AF20&lt;=0,"-",(1-EnrlSC!AF20/'Enrl-BackSeries'!Q20)*100)</f>
        <v>29.246394474913672</v>
      </c>
      <c r="R20" s="45">
        <f>IF('Enrl-BackSeries'!R20-EnrlSC!AP20&lt;=0,"-",(1-EnrlSC!AP20/'Enrl-BackSeries'!R20)*100)</f>
        <v>33.150819361349782</v>
      </c>
      <c r="S20" s="45">
        <f>IF('Enrl-BackSeries'!S20-EnrlSC!AQ20&lt;=0,"-",(1-EnrlSC!AQ20/'Enrl-BackSeries'!S20)*100)</f>
        <v>39.315967746770184</v>
      </c>
      <c r="T20" s="45">
        <f>IF('Enrl-BackSeries'!T20-EnrlSC!AR20&lt;=0,"-",(1-EnrlSC!AR20/'Enrl-BackSeries'!T20)*100)</f>
        <v>36.121703760197832</v>
      </c>
      <c r="U20" s="45">
        <f>IF('Enrl-BackSeries'!U20-EnrlST!R20&lt;=0,"-",(1-EnrlST!R20/'Enrl-BackSeries'!U20)*100)</f>
        <v>24.263101929211604</v>
      </c>
      <c r="V20" s="45">
        <f>IF('Enrl-BackSeries'!V20-EnrlST!S20&lt;=0,"-",(1-EnrlST!S20/'Enrl-BackSeries'!V20)*100)</f>
        <v>26.463681432270235</v>
      </c>
      <c r="W20" s="45">
        <f>IF('Enrl-BackSeries'!W20-EnrlST!T20&lt;=0,"-",(1-EnrlST!T20/'Enrl-BackSeries'!W20)*100)</f>
        <v>25.310466049343404</v>
      </c>
      <c r="X20" s="45">
        <f>IF('Enrl-BackSeries'!X20-EnrlST!AD20&lt;=0,"-",(1-EnrlST!AD20/'Enrl-BackSeries'!X20)*100)</f>
        <v>44.004171629364954</v>
      </c>
      <c r="Y20" s="45">
        <f>IF('Enrl-BackSeries'!Y20-EnrlST!AE20&lt;=0,"-",(1-EnrlST!AE20/'Enrl-BackSeries'!Y20)*100)</f>
        <v>47.817607847741293</v>
      </c>
      <c r="Z20" s="45">
        <f>IF('Enrl-BackSeries'!Z20-EnrlST!AF20&lt;=0,"-",(1-EnrlST!AF20/'Enrl-BackSeries'!Z20)*100)</f>
        <v>45.819477950924778</v>
      </c>
      <c r="AA20" s="45">
        <f>IF('Enrl-BackSeries'!AA20-EnrlST!AP20&lt;=0,"-",(1-EnrlST!AP20/'Enrl-BackSeries'!AA20)*100)</f>
        <v>52.061304207200251</v>
      </c>
      <c r="AB20" s="45">
        <f>IF('Enrl-BackSeries'!AB20-EnrlST!AQ20&lt;=0,"-",(1-EnrlST!AQ20/'Enrl-BackSeries'!AB20)*100)</f>
        <v>55.071867456660087</v>
      </c>
      <c r="AC20" s="45">
        <f>IF('Enrl-BackSeries'!AC20-EnrlST!AR20&lt;=0,"-",(1-EnrlST!AR20/'Enrl-BackSeries'!AC20)*100)</f>
        <v>53.493196258268206</v>
      </c>
    </row>
    <row r="21" spans="1:29" s="35" customFormat="1" ht="18.75" customHeight="1">
      <c r="A21" s="25">
        <v>16</v>
      </c>
      <c r="B21" s="26" t="s">
        <v>29</v>
      </c>
      <c r="C21" s="45">
        <f>IF('Enrl-BackSeries'!C21-EnrlAll!R21&lt;0,"-",(1-EnrlAll!R21/'Enrl-BackSeries'!C21)*100)</f>
        <v>45.110784535383218</v>
      </c>
      <c r="D21" s="45">
        <f>IF('Enrl-BackSeries'!D21-EnrlAll!S21&lt;0,"-",(1-EnrlAll!S21/'Enrl-BackSeries'!D21)*100)</f>
        <v>44.546149473725471</v>
      </c>
      <c r="E21" s="45">
        <f>IF('Enrl-BackSeries'!E21-EnrlAll!T21&lt;0,"-",(1-EnrlAll!T21/'Enrl-BackSeries'!E21)*100)</f>
        <v>44.834045823526594</v>
      </c>
      <c r="F21" s="45">
        <f>IF('Enrl-BackSeries'!F21-EnrlAll!AD21&lt;0,"-",(1-EnrlAll!AD21/'Enrl-BackSeries'!F21)*100)</f>
        <v>54.48933782267116</v>
      </c>
      <c r="G21" s="45">
        <f>IF('Enrl-BackSeries'!G21-EnrlAll!AE21&lt;0,"-",(1-EnrlAll!AE21/'Enrl-BackSeries'!G21)*100)</f>
        <v>52.933302658272851</v>
      </c>
      <c r="H21" s="45">
        <f>IF('Enrl-BackSeries'!H21-EnrlAll!AF21&lt;0,"-",(1-EnrlAll!AF21/'Enrl-BackSeries'!H21)*100)</f>
        <v>53.727906334114572</v>
      </c>
      <c r="I21" s="45">
        <f>IF('Enrl-BackSeries'!I21-EnrlAll!AP21&lt;0,"-",(1-EnrlAll!AP21/'Enrl-BackSeries'!I21)*100)</f>
        <v>71.980277902285977</v>
      </c>
      <c r="J21" s="45">
        <f>IF('Enrl-BackSeries'!J21-EnrlAll!AQ21&lt;0,"-",(1-EnrlAll!AQ21/'Enrl-BackSeries'!J21)*100)</f>
        <v>70.25067329604309</v>
      </c>
      <c r="K21" s="45">
        <f>IF('Enrl-BackSeries'!K21-EnrlAll!AR21&lt;0,"-",(1-EnrlAll!AR21/'Enrl-BackSeries'!K21)*100)</f>
        <v>71.136747740465864</v>
      </c>
      <c r="L21" s="45">
        <f>IF('Enrl-BackSeries'!L21-EnrlSC!R21&lt;=0,"-",(1-EnrlSC!R21/'Enrl-BackSeries'!L21)*100)</f>
        <v>26.755852842809368</v>
      </c>
      <c r="M21" s="45">
        <f>IF('Enrl-BackSeries'!M21-EnrlSC!S21&lt;=0,"-",(1-EnrlSC!S21/'Enrl-BackSeries'!M21)*100)</f>
        <v>13.338414634146345</v>
      </c>
      <c r="N21" s="45">
        <f>IF('Enrl-BackSeries'!N21-EnrlSC!T21&lt;=0,"-",(1-EnrlSC!T21/'Enrl-BackSeries'!N21)*100)</f>
        <v>20.48450302814393</v>
      </c>
      <c r="O21" s="45">
        <f>IF('Enrl-BackSeries'!O21-EnrlSC!AD21&lt;=0,"-",(1-EnrlSC!AD21/'Enrl-BackSeries'!O21)*100)</f>
        <v>31.832061068702288</v>
      </c>
      <c r="P21" s="45">
        <f>IF('Enrl-BackSeries'!P21-EnrlSC!AE21&lt;=0,"-",(1-EnrlSC!AE21/'Enrl-BackSeries'!P21)*100)</f>
        <v>16.751269035532989</v>
      </c>
      <c r="Q21" s="45">
        <f>IF('Enrl-BackSeries'!Q21-EnrlSC!AF21&lt;=0,"-",(1-EnrlSC!AF21/'Enrl-BackSeries'!Q21)*100)</f>
        <v>24.678972712680579</v>
      </c>
      <c r="R21" s="45">
        <f>IF('Enrl-BackSeries'!R21-EnrlSC!AP21&lt;=0,"-",(1-EnrlSC!AP21/'Enrl-BackSeries'!R21)*100)</f>
        <v>63.075196408529742</v>
      </c>
      <c r="S21" s="45">
        <f>IF('Enrl-BackSeries'!S21-EnrlSC!AQ21&lt;=0,"-",(1-EnrlSC!AQ21/'Enrl-BackSeries'!S21)*100)</f>
        <v>63.748458692971631</v>
      </c>
      <c r="T21" s="45">
        <f>IF('Enrl-BackSeries'!T21-EnrlSC!AR21&lt;=0,"-",(1-EnrlSC!AR21/'Enrl-BackSeries'!T21)*100)</f>
        <v>63.396004700352528</v>
      </c>
      <c r="U21" s="45">
        <f>IF('Enrl-BackSeries'!U21-EnrlST!R21&lt;=0,"-",(1-EnrlST!R21/'Enrl-BackSeries'!U21)*100)</f>
        <v>35.891541961814511</v>
      </c>
      <c r="V21" s="45">
        <f>IF('Enrl-BackSeries'!V21-EnrlST!S21&lt;=0,"-",(1-EnrlST!S21/'Enrl-BackSeries'!V21)*100)</f>
        <v>33.517626172964739</v>
      </c>
      <c r="W21" s="45">
        <f>IF('Enrl-BackSeries'!W21-EnrlST!T21&lt;=0,"-",(1-EnrlST!T21/'Enrl-BackSeries'!W21)*100)</f>
        <v>34.750926106453491</v>
      </c>
      <c r="X21" s="45">
        <f>IF('Enrl-BackSeries'!X21-EnrlST!AD21&lt;=0,"-",(1-EnrlST!AD21/'Enrl-BackSeries'!X21)*100)</f>
        <v>56.090270512628905</v>
      </c>
      <c r="Y21" s="45">
        <f>IF('Enrl-BackSeries'!Y21-EnrlST!AE21&lt;=0,"-",(1-EnrlST!AE21/'Enrl-BackSeries'!Y21)*100)</f>
        <v>53.267956247642644</v>
      </c>
      <c r="Z21" s="45">
        <f>IF('Enrl-BackSeries'!Z21-EnrlST!AF21&lt;=0,"-",(1-EnrlST!AF21/'Enrl-BackSeries'!Z21)*100)</f>
        <v>54.734417063574234</v>
      </c>
      <c r="AA21" s="45">
        <f>IF('Enrl-BackSeries'!AA21-EnrlST!AP21&lt;=0,"-",(1-EnrlST!AP21/'Enrl-BackSeries'!AA21)*100)</f>
        <v>80.212116809530727</v>
      </c>
      <c r="AB21" s="45">
        <f>IF('Enrl-BackSeries'!AB21-EnrlST!AQ21&lt;=0,"-",(1-EnrlST!AQ21/'Enrl-BackSeries'!AB21)*100)</f>
        <v>78.166998011928428</v>
      </c>
      <c r="AC21" s="45">
        <f>IF('Enrl-BackSeries'!AC21-EnrlST!AR21&lt;=0,"-",(1-EnrlST!AR21/'Enrl-BackSeries'!AC21)*100)</f>
        <v>79.235792111157508</v>
      </c>
    </row>
    <row r="22" spans="1:29" s="35" customFormat="1" ht="18.75" customHeight="1">
      <c r="A22" s="25">
        <v>17</v>
      </c>
      <c r="B22" s="26" t="s">
        <v>30</v>
      </c>
      <c r="C22" s="45">
        <f>IF('Enrl-BackSeries'!C22-EnrlAll!R22&lt;0,"-",(1-EnrlAll!R22/'Enrl-BackSeries'!C22)*100)</f>
        <v>65.589693988846136</v>
      </c>
      <c r="D22" s="45">
        <f>IF('Enrl-BackSeries'!D22-EnrlAll!S22&lt;0,"-",(1-EnrlAll!S22/'Enrl-BackSeries'!D22)*100)</f>
        <v>59.984013314937698</v>
      </c>
      <c r="E22" s="45">
        <f>IF('Enrl-BackSeries'!E22-EnrlAll!T22&lt;0,"-",(1-EnrlAll!T22/'Enrl-BackSeries'!E22)*100)</f>
        <v>62.873981497199118</v>
      </c>
      <c r="F22" s="45">
        <f>IF('Enrl-BackSeries'!F22-EnrlAll!AD22&lt;0,"-",(1-EnrlAll!AD22/'Enrl-BackSeries'!F22)*100)</f>
        <v>69.774629910027159</v>
      </c>
      <c r="G22" s="45">
        <f>IF('Enrl-BackSeries'!G22-EnrlAll!AE22&lt;0,"-",(1-EnrlAll!AE22/'Enrl-BackSeries'!G22)*100)</f>
        <v>66.127204030226693</v>
      </c>
      <c r="H22" s="45">
        <f>IF('Enrl-BackSeries'!H22-EnrlAll!AF22&lt;0,"-",(1-EnrlAll!AF22/'Enrl-BackSeries'!H22)*100)</f>
        <v>67.956789464764327</v>
      </c>
      <c r="I22" s="45">
        <f>IF('Enrl-BackSeries'!I22-EnrlAll!AP22&lt;0,"-",(1-EnrlAll!AP22/'Enrl-BackSeries'!I22)*100)</f>
        <v>76.62320461502236</v>
      </c>
      <c r="J22" s="45">
        <f>IF('Enrl-BackSeries'!J22-EnrlAll!AQ22&lt;0,"-",(1-EnrlAll!AQ22/'Enrl-BackSeries'!J22)*100)</f>
        <v>72.444339105574244</v>
      </c>
      <c r="K22" s="45">
        <f>IF('Enrl-BackSeries'!K22-EnrlAll!AR22&lt;0,"-",(1-EnrlAll!AR22/'Enrl-BackSeries'!K22)*100)</f>
        <v>74.540635911973368</v>
      </c>
      <c r="L22" s="45">
        <f>IF('Enrl-BackSeries'!L22-EnrlSC!R22&lt;=0,"-",(1-EnrlSC!R22/'Enrl-BackSeries'!L22)*100)</f>
        <v>20.499108734402849</v>
      </c>
      <c r="M22" s="45">
        <f>IF('Enrl-BackSeries'!M22-EnrlSC!S22&lt;=0,"-",(1-EnrlSC!S22/'Enrl-BackSeries'!M22)*100)</f>
        <v>18.895966029723986</v>
      </c>
      <c r="N22" s="45">
        <f>IF('Enrl-BackSeries'!N22-EnrlSC!T22&lt;=0,"-",(1-EnrlSC!T22/'Enrl-BackSeries'!N22)*100)</f>
        <v>19.767441860465119</v>
      </c>
      <c r="O22" s="45">
        <f>IF('Enrl-BackSeries'!O22-EnrlSC!AD22&lt;=0,"-",(1-EnrlSC!AD22/'Enrl-BackSeries'!O22)*100)</f>
        <v>41.098484848484851</v>
      </c>
      <c r="P22" s="45">
        <f>IF('Enrl-BackSeries'!P22-EnrlSC!AE22&lt;=0,"-",(1-EnrlSC!AE22/'Enrl-BackSeries'!P22)*100)</f>
        <v>35.147392290249435</v>
      </c>
      <c r="Q22" s="45">
        <f>IF('Enrl-BackSeries'!Q22-EnrlSC!AF22&lt;=0,"-",(1-EnrlSC!AF22/'Enrl-BackSeries'!Q22)*100)</f>
        <v>38.390092879256969</v>
      </c>
      <c r="R22" s="45">
        <f>IF('Enrl-BackSeries'!R22-EnrlSC!AP22&lt;=0,"-",(1-EnrlSC!AP22/'Enrl-BackSeries'!R22)*100)</f>
        <v>66.263940520446099</v>
      </c>
      <c r="S22" s="45">
        <f>IF('Enrl-BackSeries'!S22-EnrlSC!AQ22&lt;=0,"-",(1-EnrlSC!AQ22/'Enrl-BackSeries'!S22)*100)</f>
        <v>70.233463035019454</v>
      </c>
      <c r="T22" s="45">
        <f>IF('Enrl-BackSeries'!T22-EnrlSC!AR22&lt;=0,"-",(1-EnrlSC!AR22/'Enrl-BackSeries'!T22)*100)</f>
        <v>68.203422053231932</v>
      </c>
      <c r="U22" s="45">
        <f>IF('Enrl-BackSeries'!U22-EnrlST!R22&lt;=0,"-",(1-EnrlST!R22/'Enrl-BackSeries'!U22)*100)</f>
        <v>61.128164292778152</v>
      </c>
      <c r="V22" s="45">
        <f>IF('Enrl-BackSeries'!V22-EnrlST!S22&lt;=0,"-",(1-EnrlST!S22/'Enrl-BackSeries'!V22)*100)</f>
        <v>53.97373687529128</v>
      </c>
      <c r="W22" s="45">
        <f>IF('Enrl-BackSeries'!W22-EnrlST!T22&lt;=0,"-",(1-EnrlST!T22/'Enrl-BackSeries'!W22)*100)</f>
        <v>57.667340781752486</v>
      </c>
      <c r="X22" s="45">
        <f>IF('Enrl-BackSeries'!X22-EnrlST!AD22&lt;=0,"-",(1-EnrlST!AD22/'Enrl-BackSeries'!X22)*100)</f>
        <v>66.433937803601822</v>
      </c>
      <c r="Y22" s="45">
        <f>IF('Enrl-BackSeries'!Y22-EnrlST!AE22&lt;=0,"-",(1-EnrlST!AE22/'Enrl-BackSeries'!Y22)*100)</f>
        <v>61.62578041243615</v>
      </c>
      <c r="Z22" s="45">
        <f>IF('Enrl-BackSeries'!Z22-EnrlST!AF22&lt;=0,"-",(1-EnrlST!AF22/'Enrl-BackSeries'!Z22)*100)</f>
        <v>64.041082455218088</v>
      </c>
      <c r="AA22" s="45">
        <f>IF('Enrl-BackSeries'!AA22-EnrlST!AP22&lt;=0,"-",(1-EnrlST!AP22/'Enrl-BackSeries'!AA22)*100)</f>
        <v>77.659317085759454</v>
      </c>
      <c r="AB22" s="45">
        <f>IF('Enrl-BackSeries'!AB22-EnrlST!AQ22&lt;=0,"-",(1-EnrlST!AQ22/'Enrl-BackSeries'!AB22)*100)</f>
        <v>73.491076475813614</v>
      </c>
      <c r="AC22" s="45">
        <f>IF('Enrl-BackSeries'!AC22-EnrlST!AR22&lt;=0,"-",(1-EnrlST!AR22/'Enrl-BackSeries'!AC22)*100)</f>
        <v>75.576609584066361</v>
      </c>
    </row>
    <row r="23" spans="1:29" s="35" customFormat="1" ht="18.75" customHeight="1">
      <c r="A23" s="25">
        <v>18</v>
      </c>
      <c r="B23" s="26" t="s">
        <v>31</v>
      </c>
      <c r="C23" s="45">
        <f>IF('Enrl-BackSeries'!C23-EnrlAll!R23&lt;0,"-",(1-EnrlAll!R23/'Enrl-BackSeries'!C23)*100)</f>
        <v>41.501156961048977</v>
      </c>
      <c r="D23" s="45">
        <f>IF('Enrl-BackSeries'!D23-EnrlAll!S23&lt;0,"-",(1-EnrlAll!S23/'Enrl-BackSeries'!D23)*100)</f>
        <v>39.988386211265372</v>
      </c>
      <c r="E23" s="45">
        <f>IF('Enrl-BackSeries'!E23-EnrlAll!T23&lt;0,"-",(1-EnrlAll!T23/'Enrl-BackSeries'!E23)*100)</f>
        <v>40.779096429561314</v>
      </c>
      <c r="F23" s="45">
        <f>IF('Enrl-BackSeries'!F23-EnrlAll!AD23&lt;0,"-",(1-EnrlAll!AD23/'Enrl-BackSeries'!F23)*100)</f>
        <v>39.286944540130897</v>
      </c>
      <c r="G23" s="45">
        <f>IF('Enrl-BackSeries'!G23-EnrlAll!AE23&lt;0,"-",(1-EnrlAll!AE23/'Enrl-BackSeries'!G23)*100)</f>
        <v>39.941477688368686</v>
      </c>
      <c r="H23" s="45">
        <f>IF('Enrl-BackSeries'!H23-EnrlAll!AF23&lt;0,"-",(1-EnrlAll!AF23/'Enrl-BackSeries'!H23)*100)</f>
        <v>39.604399503281883</v>
      </c>
      <c r="I23" s="45">
        <f>IF('Enrl-BackSeries'!I23-EnrlAll!AP23&lt;0,"-",(1-EnrlAll!AP23/'Enrl-BackSeries'!I23)*100)</f>
        <v>48.371867812613488</v>
      </c>
      <c r="J23" s="45">
        <f>IF('Enrl-BackSeries'!J23-EnrlAll!AQ23&lt;0,"-",(1-EnrlAll!AQ23/'Enrl-BackSeries'!J23)*100)</f>
        <v>40.236805137467393</v>
      </c>
      <c r="K23" s="45">
        <f>IF('Enrl-BackSeries'!K23-EnrlAll!AR23&lt;0,"-",(1-EnrlAll!AR23/'Enrl-BackSeries'!K23)*100)</f>
        <v>44.507641956086552</v>
      </c>
      <c r="L23" s="45" t="str">
        <f>IF('Enrl-BackSeries'!L23-EnrlSC!R23&lt;=0,"-",(1-EnrlSC!R23/'Enrl-BackSeries'!L23)*100)</f>
        <v>-</v>
      </c>
      <c r="M23" s="45" t="str">
        <f>IF('Enrl-BackSeries'!M23-EnrlSC!S23&lt;=0,"-",(1-EnrlSC!S23/'Enrl-BackSeries'!M23)*100)</f>
        <v>-</v>
      </c>
      <c r="N23" s="45" t="str">
        <f>IF('Enrl-BackSeries'!N23-EnrlSC!T23&lt;=0,"-",(1-EnrlSC!T23/'Enrl-BackSeries'!N23)*100)</f>
        <v>-</v>
      </c>
      <c r="O23" s="45">
        <f>IF('Enrl-BackSeries'!O23-EnrlSC!AD23&lt;=0,"-",(1-EnrlSC!AD23/'Enrl-BackSeries'!O23)*100)</f>
        <v>38.70967741935484</v>
      </c>
      <c r="P23" s="45">
        <f>IF('Enrl-BackSeries'!P23-EnrlSC!AE23&lt;=0,"-",(1-EnrlSC!AE23/'Enrl-BackSeries'!P23)*100)</f>
        <v>40.816326530612244</v>
      </c>
      <c r="Q23" s="45">
        <f>IF('Enrl-BackSeries'!Q23-EnrlSC!AF23&lt;=0,"-",(1-EnrlSC!AF23/'Enrl-BackSeries'!Q23)*100)</f>
        <v>39.639639639639633</v>
      </c>
      <c r="R23" s="45">
        <f>IF('Enrl-BackSeries'!R23-EnrlSC!AP23&lt;=0,"-",(1-EnrlSC!AP23/'Enrl-BackSeries'!R23)*100)</f>
        <v>77.464788732394368</v>
      </c>
      <c r="S23" s="45">
        <f>IF('Enrl-BackSeries'!S23-EnrlSC!AQ23&lt;=0,"-",(1-EnrlSC!AQ23/'Enrl-BackSeries'!S23)*100)</f>
        <v>81</v>
      </c>
      <c r="T23" s="45">
        <f>IF('Enrl-BackSeries'!T23-EnrlSC!AR23&lt;=0,"-",(1-EnrlSC!AR23/'Enrl-BackSeries'!T23)*100)</f>
        <v>78.925619834710744</v>
      </c>
      <c r="U23" s="45">
        <f>IF('Enrl-BackSeries'!U23-EnrlST!R23&lt;=0,"-",(1-EnrlST!R23/'Enrl-BackSeries'!U23)*100)</f>
        <v>60.834833851694214</v>
      </c>
      <c r="V23" s="45">
        <f>IF('Enrl-BackSeries'!V23-EnrlST!S23&lt;=0,"-",(1-EnrlST!S23/'Enrl-BackSeries'!V23)*100)</f>
        <v>59.442959323748276</v>
      </c>
      <c r="W23" s="45">
        <f>IF('Enrl-BackSeries'!W23-EnrlST!T23&lt;=0,"-",(1-EnrlST!T23/'Enrl-BackSeries'!W23)*100)</f>
        <v>60.173115564944091</v>
      </c>
      <c r="X23" s="45">
        <f>IF('Enrl-BackSeries'!X23-EnrlST!AD23&lt;=0,"-",(1-EnrlST!AD23/'Enrl-BackSeries'!X23)*100)</f>
        <v>39.922793270338786</v>
      </c>
      <c r="Y23" s="45">
        <f>IF('Enrl-BackSeries'!Y23-EnrlST!AE23&lt;=0,"-",(1-EnrlST!AE23/'Enrl-BackSeries'!Y23)*100)</f>
        <v>40.562519107306642</v>
      </c>
      <c r="Z23" s="45">
        <f>IF('Enrl-BackSeries'!Z23-EnrlST!AF23&lt;=0,"-",(1-EnrlST!AF23/'Enrl-BackSeries'!Z23)*100)</f>
        <v>40.233158316276587</v>
      </c>
      <c r="AA23" s="45">
        <f>IF('Enrl-BackSeries'!AA23-EnrlST!AP23&lt;=0,"-",(1-EnrlST!AP23/'Enrl-BackSeries'!AA23)*100)</f>
        <v>48.678090575275398</v>
      </c>
      <c r="AB23" s="45">
        <f>IF('Enrl-BackSeries'!AB23-EnrlST!AQ23&lt;=0,"-",(1-EnrlST!AQ23/'Enrl-BackSeries'!AB23)*100)</f>
        <v>40.486158001350439</v>
      </c>
      <c r="AC23" s="45">
        <f>IF('Enrl-BackSeries'!AC23-EnrlST!AR23&lt;=0,"-",(1-EnrlST!AR23/'Enrl-BackSeries'!AC23)*100)</f>
        <v>44.783306581059392</v>
      </c>
    </row>
    <row r="24" spans="1:29" s="35" customFormat="1" ht="18.75" customHeight="1">
      <c r="A24" s="25">
        <v>19</v>
      </c>
      <c r="B24" s="26" t="s">
        <v>54</v>
      </c>
      <c r="C24" s="45">
        <f>IF('Enrl-BackSeries'!C24-EnrlAll!R24&lt;0,"-",(1-EnrlAll!R24/'Enrl-BackSeries'!C24)*100)</f>
        <v>38.507346981923249</v>
      </c>
      <c r="D24" s="45">
        <f>IF('Enrl-BackSeries'!D24-EnrlAll!S24&lt;0,"-",(1-EnrlAll!S24/'Enrl-BackSeries'!D24)*100)</f>
        <v>38.574026074509646</v>
      </c>
      <c r="E24" s="45">
        <f>IF('Enrl-BackSeries'!E24-EnrlAll!T24&lt;0,"-",(1-EnrlAll!T24/'Enrl-BackSeries'!E24)*100)</f>
        <v>38.539131076196796</v>
      </c>
      <c r="F24" s="45">
        <f>IF('Enrl-BackSeries'!F24-EnrlAll!AD24&lt;0,"-",(1-EnrlAll!AD24/'Enrl-BackSeries'!F24)*100)</f>
        <v>48.592124056315036</v>
      </c>
      <c r="G24" s="45">
        <f>IF('Enrl-BackSeries'!G24-EnrlAll!AE24&lt;0,"-",(1-EnrlAll!AE24/'Enrl-BackSeries'!G24)*100)</f>
        <v>46.69018312818973</v>
      </c>
      <c r="H24" s="45">
        <f>IF('Enrl-BackSeries'!H24-EnrlAll!AF24&lt;0,"-",(1-EnrlAll!AF24/'Enrl-BackSeries'!H24)*100)</f>
        <v>47.68794376850893</v>
      </c>
      <c r="I24" s="45">
        <f>IF('Enrl-BackSeries'!I24-EnrlAll!AP24&lt;0,"-",(1-EnrlAll!AP24/'Enrl-BackSeries'!I24)*100)</f>
        <v>55.519364626093171</v>
      </c>
      <c r="J24" s="45">
        <f>IF('Enrl-BackSeries'!J24-EnrlAll!AQ24&lt;0,"-",(1-EnrlAll!AQ24/'Enrl-BackSeries'!J24)*100)</f>
        <v>51.58466203658417</v>
      </c>
      <c r="K24" s="45">
        <f>IF('Enrl-BackSeries'!K24-EnrlAll!AR24&lt;0,"-",(1-EnrlAll!AR24/'Enrl-BackSeries'!K24)*100)</f>
        <v>53.642260488123569</v>
      </c>
      <c r="L24" s="45" t="str">
        <f>IF('Enrl-BackSeries'!L24-EnrlSC!R24&lt;=0,"-",(1-EnrlSC!R24/'Enrl-BackSeries'!L24)*100)</f>
        <v>-</v>
      </c>
      <c r="M24" s="45" t="str">
        <f>IF('Enrl-BackSeries'!M24-EnrlSC!S24&lt;=0,"-",(1-EnrlSC!S24/'Enrl-BackSeries'!M24)*100)</f>
        <v>-</v>
      </c>
      <c r="N24" s="45" t="str">
        <f>IF('Enrl-BackSeries'!N24-EnrlSC!T24&lt;=0,"-",(1-EnrlSC!T24/'Enrl-BackSeries'!N24)*100)</f>
        <v>-</v>
      </c>
      <c r="O24" s="45" t="str">
        <f>IF('Enrl-BackSeries'!O24-EnrlSC!AD24&lt;=0,"-",(1-EnrlSC!AD24/'Enrl-BackSeries'!O24)*100)</f>
        <v>-</v>
      </c>
      <c r="P24" s="45" t="str">
        <f>IF('Enrl-BackSeries'!P24-EnrlSC!AE24&lt;=0,"-",(1-EnrlSC!AE24/'Enrl-BackSeries'!P24)*100)</f>
        <v>-</v>
      </c>
      <c r="Q24" s="45" t="str">
        <f>IF('Enrl-BackSeries'!Q24-EnrlSC!AF24&lt;=0,"-",(1-EnrlSC!AF24/'Enrl-BackSeries'!Q24)*100)</f>
        <v>-</v>
      </c>
      <c r="R24" s="45">
        <f>IF('Enrl-BackSeries'!R24-EnrlSC!AP24&lt;=0,"-",(1-EnrlSC!AP24/'Enrl-BackSeries'!R24)*100)</f>
        <v>100</v>
      </c>
      <c r="S24" s="45">
        <f>IF('Enrl-BackSeries'!S24-EnrlSC!AQ24&lt;=0,"-",(1-EnrlSC!AQ24/'Enrl-BackSeries'!S24)*100)</f>
        <v>100</v>
      </c>
      <c r="T24" s="45">
        <f>IF('Enrl-BackSeries'!T24-EnrlSC!AR24&lt;=0,"-",(1-EnrlSC!AR24/'Enrl-BackSeries'!T24)*100)</f>
        <v>100</v>
      </c>
      <c r="U24" s="45">
        <f>IF('Enrl-BackSeries'!U24-EnrlST!R24&lt;=0,"-",(1-EnrlST!R24/'Enrl-BackSeries'!U24)*100)</f>
        <v>38.930135867547698</v>
      </c>
      <c r="V24" s="45">
        <f>IF('Enrl-BackSeries'!V24-EnrlST!S24&lt;=0,"-",(1-EnrlST!S24/'Enrl-BackSeries'!V24)*100)</f>
        <v>39.400437095377505</v>
      </c>
      <c r="W24" s="45">
        <f>IF('Enrl-BackSeries'!W24-EnrlST!T24&lt;=0,"-",(1-EnrlST!T24/'Enrl-BackSeries'!W24)*100)</f>
        <v>39.152943015100902</v>
      </c>
      <c r="X24" s="45">
        <f>IF('Enrl-BackSeries'!X24-EnrlST!AD24&lt;=0,"-",(1-EnrlST!AD24/'Enrl-BackSeries'!X24)*100)</f>
        <v>44.123549085185907</v>
      </c>
      <c r="Y24" s="45">
        <f>IF('Enrl-BackSeries'!Y24-EnrlST!AE24&lt;=0,"-",(1-EnrlST!AE24/'Enrl-BackSeries'!Y24)*100)</f>
        <v>42.710427410191421</v>
      </c>
      <c r="Z24" s="45">
        <f>IF('Enrl-BackSeries'!Z24-EnrlST!AF24&lt;=0,"-",(1-EnrlST!AF24/'Enrl-BackSeries'!Z24)*100)</f>
        <v>43.454044764685172</v>
      </c>
      <c r="AA24" s="45">
        <f>IF('Enrl-BackSeries'!AA24-EnrlST!AP24&lt;=0,"-",(1-EnrlST!AP24/'Enrl-BackSeries'!AA24)*100)</f>
        <v>67.094922113981838</v>
      </c>
      <c r="AB24" s="45">
        <f>IF('Enrl-BackSeries'!AB24-EnrlST!AQ24&lt;=0,"-",(1-EnrlST!AQ24/'Enrl-BackSeries'!AB24)*100)</f>
        <v>64.592539307368213</v>
      </c>
      <c r="AC24" s="45">
        <f>IF('Enrl-BackSeries'!AC24-EnrlST!AR24&lt;=0,"-",(1-EnrlST!AR24/'Enrl-BackSeries'!AC24)*100)</f>
        <v>65.898651470118637</v>
      </c>
    </row>
    <row r="25" spans="1:29" s="35" customFormat="1" ht="18.75" customHeight="1">
      <c r="A25" s="25">
        <v>20</v>
      </c>
      <c r="B25" s="2" t="s">
        <v>55</v>
      </c>
      <c r="C25" s="45">
        <f>IF('Enrl-BackSeries'!C25-EnrlAll!R25&lt;0,"-",(1-EnrlAll!R25/'Enrl-BackSeries'!C25)*100)</f>
        <v>17.41723917042296</v>
      </c>
      <c r="D25" s="45">
        <f>IF('Enrl-BackSeries'!D25-EnrlAll!S25&lt;0,"-",(1-EnrlAll!S25/'Enrl-BackSeries'!D25)*100)</f>
        <v>13.470076417667808</v>
      </c>
      <c r="E25" s="45">
        <f>IF('Enrl-BackSeries'!E25-EnrlAll!T25&lt;0,"-",(1-EnrlAll!T25/'Enrl-BackSeries'!E25)*100)</f>
        <v>15.489722031778108</v>
      </c>
      <c r="F25" s="45">
        <f>IF('Enrl-BackSeries'!F25-EnrlAll!AD25&lt;0,"-",(1-EnrlAll!AD25/'Enrl-BackSeries'!F25)*100)</f>
        <v>55.791134589949642</v>
      </c>
      <c r="G25" s="45">
        <f>IF('Enrl-BackSeries'!G25-EnrlAll!AE25&lt;0,"-",(1-EnrlAll!AE25/'Enrl-BackSeries'!G25)*100)</f>
        <v>58.325720975481055</v>
      </c>
      <c r="H25" s="45">
        <f>IF('Enrl-BackSeries'!H25-EnrlAll!AF25&lt;0,"-",(1-EnrlAll!AF25/'Enrl-BackSeries'!H25)*100)</f>
        <v>57.017994037903605</v>
      </c>
      <c r="I25" s="45">
        <f>IF('Enrl-BackSeries'!I25-EnrlAll!AP25&lt;0,"-",(1-EnrlAll!AP25/'Enrl-BackSeries'!I25)*100)</f>
        <v>62.282709138674264</v>
      </c>
      <c r="J25" s="45">
        <f>IF('Enrl-BackSeries'!J25-EnrlAll!AQ25&lt;0,"-",(1-EnrlAll!AQ25/'Enrl-BackSeries'!J25)*100)</f>
        <v>61.570897036233063</v>
      </c>
      <c r="K25" s="45">
        <f>IF('Enrl-BackSeries'!K25-EnrlAll!AR25&lt;0,"-",(1-EnrlAll!AR25/'Enrl-BackSeries'!K25)*100)</f>
        <v>61.939683083440208</v>
      </c>
      <c r="L25" s="45">
        <f>IF('Enrl-BackSeries'!L25-EnrlSC!R25&lt;=0,"-",(1-EnrlSC!R25/'Enrl-BackSeries'!L25)*100)</f>
        <v>17.330182144166905</v>
      </c>
      <c r="M25" s="45">
        <f>IF('Enrl-BackSeries'!M25-EnrlSC!S25&lt;=0,"-",(1-EnrlSC!S25/'Enrl-BackSeries'!M25)*100)</f>
        <v>15.258427209940262</v>
      </c>
      <c r="N25" s="45">
        <f>IF('Enrl-BackSeries'!N25-EnrlSC!T25&lt;=0,"-",(1-EnrlSC!T25/'Enrl-BackSeries'!N25)*100)</f>
        <v>16.326584206518024</v>
      </c>
      <c r="O25" s="45">
        <f>IF('Enrl-BackSeries'!O25-EnrlSC!AD25&lt;=0,"-",(1-EnrlSC!AD25/'Enrl-BackSeries'!O25)*100)</f>
        <v>55.026081567304217</v>
      </c>
      <c r="P25" s="45">
        <f>IF('Enrl-BackSeries'!P25-EnrlSC!AE25&lt;=0,"-",(1-EnrlSC!AE25/'Enrl-BackSeries'!P25)*100)</f>
        <v>56.470235008324906</v>
      </c>
      <c r="Q25" s="45">
        <f>IF('Enrl-BackSeries'!Q25-EnrlSC!AF25&lt;=0,"-",(1-EnrlSC!AF25/'Enrl-BackSeries'!Q25)*100)</f>
        <v>55.728155339805816</v>
      </c>
      <c r="R25" s="45">
        <f>IF('Enrl-BackSeries'!R25-EnrlSC!AP25&lt;=0,"-",(1-EnrlSC!AP25/'Enrl-BackSeries'!R25)*100)</f>
        <v>69.932685115931179</v>
      </c>
      <c r="S25" s="45">
        <f>IF('Enrl-BackSeries'!S25-EnrlSC!AQ25&lt;=0,"-",(1-EnrlSC!AQ25/'Enrl-BackSeries'!S25)*100)</f>
        <v>69.259869941751163</v>
      </c>
      <c r="T25" s="45">
        <f>IF('Enrl-BackSeries'!T25-EnrlSC!AR25&lt;=0,"-",(1-EnrlSC!AR25/'Enrl-BackSeries'!T25)*100)</f>
        <v>69.604601708733767</v>
      </c>
      <c r="U25" s="45">
        <f>IF('Enrl-BackSeries'!U25-EnrlST!R25&lt;=0,"-",(1-EnrlST!R25/'Enrl-BackSeries'!U25)*100)</f>
        <v>26.942955589586525</v>
      </c>
      <c r="V25" s="45">
        <f>IF('Enrl-BackSeries'!V25-EnrlST!S25&lt;=0,"-",(1-EnrlST!S25/'Enrl-BackSeries'!V25)*100)</f>
        <v>30.080802383609008</v>
      </c>
      <c r="W25" s="45">
        <f>IF('Enrl-BackSeries'!W25-EnrlST!T25&lt;=0,"-",(1-EnrlST!T25/'Enrl-BackSeries'!W25)*100)</f>
        <v>28.543244307984772</v>
      </c>
      <c r="X25" s="45">
        <f>IF('Enrl-BackSeries'!X25-EnrlST!AD25&lt;=0,"-",(1-EnrlST!AD25/'Enrl-BackSeries'!X25)*100)</f>
        <v>72.151356110898718</v>
      </c>
      <c r="Y25" s="45">
        <f>IF('Enrl-BackSeries'!Y25-EnrlST!AE25&lt;=0,"-",(1-EnrlST!AE25/'Enrl-BackSeries'!Y25)*100)</f>
        <v>73.367678784171048</v>
      </c>
      <c r="Z25" s="45">
        <f>IF('Enrl-BackSeries'!Z25-EnrlST!AF25&lt;=0,"-",(1-EnrlST!AF25/'Enrl-BackSeries'!Z25)*100)</f>
        <v>72.727355898399253</v>
      </c>
      <c r="AA25" s="45">
        <f>IF('Enrl-BackSeries'!AA25-EnrlST!AP25&lt;=0,"-",(1-EnrlST!AP25/'Enrl-BackSeries'!AA25)*100)</f>
        <v>76.983123282892151</v>
      </c>
      <c r="AB25" s="45">
        <f>IF('Enrl-BackSeries'!AB25-EnrlST!AQ25&lt;=0,"-",(1-EnrlST!AQ25/'Enrl-BackSeries'!AB25)*100)</f>
        <v>76.953014679038105</v>
      </c>
      <c r="AC25" s="45">
        <f>IF('Enrl-BackSeries'!AC25-EnrlST!AR25&lt;=0,"-",(1-EnrlST!AR25/'Enrl-BackSeries'!AC25)*100)</f>
        <v>76.968824626255355</v>
      </c>
    </row>
    <row r="26" spans="1:29" s="35" customFormat="1" ht="18.75" customHeight="1">
      <c r="A26" s="25">
        <v>21</v>
      </c>
      <c r="B26" s="26" t="s">
        <v>74</v>
      </c>
      <c r="C26" s="45" t="str">
        <f>IF('Enrl-BackSeries'!C26-EnrlAll!R26&lt;0,"-",(1-EnrlAll!R26/'Enrl-BackSeries'!C26)*100)</f>
        <v>-</v>
      </c>
      <c r="D26" s="45">
        <f>IF('Enrl-BackSeries'!D26-EnrlAll!S26&lt;0,"-",(1-EnrlAll!S26/'Enrl-BackSeries'!D26)*100)</f>
        <v>7.0427290465437498</v>
      </c>
      <c r="E26" s="45" t="str">
        <f>IF('Enrl-BackSeries'!E26-EnrlAll!T26&lt;0,"-",(1-EnrlAll!T26/'Enrl-BackSeries'!E26)*100)</f>
        <v>-</v>
      </c>
      <c r="F26" s="45" t="str">
        <f>IF('Enrl-BackSeries'!F26-EnrlAll!AD26&lt;0,"-",(1-EnrlAll!AD26/'Enrl-BackSeries'!F26)*100)</f>
        <v>-</v>
      </c>
      <c r="G26" s="45" t="str">
        <f>IF('Enrl-BackSeries'!G26-EnrlAll!AE26&lt;0,"-",(1-EnrlAll!AE26/'Enrl-BackSeries'!G26)*100)</f>
        <v>-</v>
      </c>
      <c r="H26" s="45" t="str">
        <f>IF('Enrl-BackSeries'!H26-EnrlAll!AF26&lt;0,"-",(1-EnrlAll!AF26/'Enrl-BackSeries'!H26)*100)</f>
        <v>-</v>
      </c>
      <c r="I26" s="45" t="str">
        <f>IF('Enrl-BackSeries'!I26-EnrlAll!AP26&lt;0,"-",(1-EnrlAll!AP26/'Enrl-BackSeries'!I26)*100)</f>
        <v>-</v>
      </c>
      <c r="J26" s="45">
        <f>IF('Enrl-BackSeries'!J26-EnrlAll!AQ26&lt;0,"-",(1-EnrlAll!AQ26/'Enrl-BackSeries'!J26)*100)</f>
        <v>2.2294770451143142</v>
      </c>
      <c r="K26" s="45" t="str">
        <f>IF('Enrl-BackSeries'!K26-EnrlAll!AR26&lt;0,"-",(1-EnrlAll!AR26/'Enrl-BackSeries'!K26)*100)</f>
        <v>-</v>
      </c>
      <c r="L26" s="45">
        <f>IF('Enrl-BackSeries'!L26-EnrlSC!R26&lt;=0,"-",(1-EnrlSC!R26/'Enrl-BackSeries'!L26)*100)</f>
        <v>22.425224579473479</v>
      </c>
      <c r="M26" s="45">
        <f>IF('Enrl-BackSeries'!M26-EnrlSC!S26&lt;=0,"-",(1-EnrlSC!S26/'Enrl-BackSeries'!M26)*100)</f>
        <v>28.13944465062924</v>
      </c>
      <c r="N26" s="45">
        <f>IF('Enrl-BackSeries'!N26-EnrlSC!T26&lt;=0,"-",(1-EnrlSC!T26/'Enrl-BackSeries'!N26)*100)</f>
        <v>25.16899075360358</v>
      </c>
      <c r="O26" s="45">
        <f>IF('Enrl-BackSeries'!O26-EnrlSC!AD26&lt;=0,"-",(1-EnrlSC!AD26/'Enrl-BackSeries'!O26)*100)</f>
        <v>24.992859446261573</v>
      </c>
      <c r="P26" s="45">
        <f>IF('Enrl-BackSeries'!P26-EnrlSC!AE26&lt;=0,"-",(1-EnrlSC!AE26/'Enrl-BackSeries'!P26)*100)</f>
        <v>28.540677109651334</v>
      </c>
      <c r="Q26" s="45">
        <f>IF('Enrl-BackSeries'!Q26-EnrlSC!AF26&lt;=0,"-",(1-EnrlSC!AF26/'Enrl-BackSeries'!Q26)*100)</f>
        <v>26.684820589440207</v>
      </c>
      <c r="R26" s="45">
        <f>IF('Enrl-BackSeries'!R26-EnrlSC!AP26&lt;=0,"-",(1-EnrlSC!AP26/'Enrl-BackSeries'!R26)*100)</f>
        <v>42.221090264217864</v>
      </c>
      <c r="S26" s="45">
        <f>IF('Enrl-BackSeries'!S26-EnrlSC!AQ26&lt;=0,"-",(1-EnrlSC!AQ26/'Enrl-BackSeries'!S26)*100)</f>
        <v>40.161196630845197</v>
      </c>
      <c r="T26" s="45">
        <f>IF('Enrl-BackSeries'!T26-EnrlSC!AR26&lt;=0,"-",(1-EnrlSC!AR26/'Enrl-BackSeries'!T26)*100)</f>
        <v>41.240026677864783</v>
      </c>
      <c r="U26" s="45" t="str">
        <f>IF('Enrl-BackSeries'!U26-EnrlST!R26&lt;=0,"-",(1-EnrlST!R26/'Enrl-BackSeries'!U26)*100)</f>
        <v>-</v>
      </c>
      <c r="V26" s="45" t="str">
        <f>IF('Enrl-BackSeries'!V26-EnrlST!S26&lt;=0,"-",(1-EnrlST!S26/'Enrl-BackSeries'!V26)*100)</f>
        <v>-</v>
      </c>
      <c r="W26" s="45" t="str">
        <f>IF('Enrl-BackSeries'!W26-EnrlST!T26&lt;=0,"-",(1-EnrlST!T26/'Enrl-BackSeries'!W26)*100)</f>
        <v>-</v>
      </c>
      <c r="X26" s="45" t="str">
        <f>IF('Enrl-BackSeries'!X26-EnrlST!AD26&lt;=0,"-",(1-EnrlST!AD26/'Enrl-BackSeries'!X26)*100)</f>
        <v>-</v>
      </c>
      <c r="Y26" s="45" t="str">
        <f>IF('Enrl-BackSeries'!Y26-EnrlST!AE26&lt;=0,"-",(1-EnrlST!AE26/'Enrl-BackSeries'!Y26)*100)</f>
        <v>-</v>
      </c>
      <c r="Z26" s="45" t="str">
        <f>IF('Enrl-BackSeries'!Z26-EnrlST!AF26&lt;=0,"-",(1-EnrlST!AF26/'Enrl-BackSeries'!Z26)*100)</f>
        <v>-</v>
      </c>
      <c r="AA26" s="45" t="str">
        <f>IF('Enrl-BackSeries'!AA26-EnrlST!AP26&lt;=0,"-",(1-EnrlST!AP26/'Enrl-BackSeries'!AA26)*100)</f>
        <v>-</v>
      </c>
      <c r="AB26" s="45" t="str">
        <f>IF('Enrl-BackSeries'!AB26-EnrlST!AQ26&lt;=0,"-",(1-EnrlST!AQ26/'Enrl-BackSeries'!AB26)*100)</f>
        <v>-</v>
      </c>
      <c r="AC26" s="45" t="str">
        <f>IF('Enrl-BackSeries'!AC26-EnrlST!AR26&lt;=0,"-",(1-EnrlST!AR26/'Enrl-BackSeries'!AC26)*100)</f>
        <v>-</v>
      </c>
    </row>
    <row r="27" spans="1:29" s="35" customFormat="1" ht="18.75" customHeight="1">
      <c r="A27" s="25">
        <v>22</v>
      </c>
      <c r="B27" s="26" t="s">
        <v>32</v>
      </c>
      <c r="C27" s="45">
        <f>IF('Enrl-BackSeries'!C27-EnrlAll!R27&lt;0,"-",(1-EnrlAll!R27/'Enrl-BackSeries'!C27)*100)</f>
        <v>43.20210212224066</v>
      </c>
      <c r="D27" s="45">
        <f>IF('Enrl-BackSeries'!D27-EnrlAll!S27&lt;0,"-",(1-EnrlAll!S27/'Enrl-BackSeries'!D27)*100)</f>
        <v>43.401956523902562</v>
      </c>
      <c r="E27" s="45">
        <f>IF('Enrl-BackSeries'!E27-EnrlAll!T27&lt;0,"-",(1-EnrlAll!T27/'Enrl-BackSeries'!E27)*100)</f>
        <v>43.29505388603954</v>
      </c>
      <c r="F27" s="45">
        <f>IF('Enrl-BackSeries'!F27-EnrlAll!AD27&lt;0,"-",(1-EnrlAll!AD27/'Enrl-BackSeries'!F27)*100)</f>
        <v>55.259440522818927</v>
      </c>
      <c r="G27" s="45">
        <f>IF('Enrl-BackSeries'!G27-EnrlAll!AE27&lt;0,"-",(1-EnrlAll!AE27/'Enrl-BackSeries'!G27)*100)</f>
        <v>58.464368866634885</v>
      </c>
      <c r="H27" s="45">
        <f>IF('Enrl-BackSeries'!H27-EnrlAll!AF27&lt;0,"-",(1-EnrlAll!AF27/'Enrl-BackSeries'!H27)*100)</f>
        <v>56.744242243719889</v>
      </c>
      <c r="I27" s="45">
        <f>IF('Enrl-BackSeries'!I27-EnrlAll!AP27&lt;0,"-",(1-EnrlAll!AP27/'Enrl-BackSeries'!I27)*100)</f>
        <v>54.279727444658867</v>
      </c>
      <c r="J27" s="45">
        <f>IF('Enrl-BackSeries'!J27-EnrlAll!AQ27&lt;0,"-",(1-EnrlAll!AQ27/'Enrl-BackSeries'!J27)*100)</f>
        <v>69.386575125412421</v>
      </c>
      <c r="K27" s="45">
        <f>IF('Enrl-BackSeries'!K27-EnrlAll!AR27&lt;0,"-",(1-EnrlAll!AR27/'Enrl-BackSeries'!K27)*100)</f>
        <v>61.738702113951518</v>
      </c>
      <c r="L27" s="45">
        <f>IF('Enrl-BackSeries'!L27-EnrlSC!R27&lt;=0,"-",(1-EnrlSC!R27/'Enrl-BackSeries'!L27)*100)</f>
        <v>42.6078773930709</v>
      </c>
      <c r="M27" s="45">
        <f>IF('Enrl-BackSeries'!M27-EnrlSC!S27&lt;=0,"-",(1-EnrlSC!S27/'Enrl-BackSeries'!M27)*100)</f>
        <v>43.013144420755765</v>
      </c>
      <c r="N27" s="45">
        <f>IF('Enrl-BackSeries'!N27-EnrlSC!T27&lt;=0,"-",(1-EnrlSC!T27/'Enrl-BackSeries'!N27)*100)</f>
        <v>42.796314979129789</v>
      </c>
      <c r="O27" s="45">
        <f>IF('Enrl-BackSeries'!O27-EnrlSC!AD27&lt;=0,"-",(1-EnrlSC!AD27/'Enrl-BackSeries'!O27)*100)</f>
        <v>56.817652538425712</v>
      </c>
      <c r="P27" s="45">
        <f>IF('Enrl-BackSeries'!P27-EnrlSC!AE27&lt;=0,"-",(1-EnrlSC!AE27/'Enrl-BackSeries'!P27)*100)</f>
        <v>58.524054561790415</v>
      </c>
      <c r="Q27" s="45">
        <f>IF('Enrl-BackSeries'!Q27-EnrlSC!AF27&lt;=0,"-",(1-EnrlSC!AF27/'Enrl-BackSeries'!Q27)*100)</f>
        <v>57.595948231542394</v>
      </c>
      <c r="R27" s="45">
        <f>IF('Enrl-BackSeries'!R27-EnrlSC!AP27&lt;=0,"-",(1-EnrlSC!AP27/'Enrl-BackSeries'!R27)*100)</f>
        <v>65.133391761612614</v>
      </c>
      <c r="S27" s="45">
        <f>IF('Enrl-BackSeries'!S27-EnrlSC!AQ27&lt;=0,"-",(1-EnrlSC!AQ27/'Enrl-BackSeries'!S27)*100)</f>
        <v>78.143279066416937</v>
      </c>
      <c r="T27" s="45">
        <f>IF('Enrl-BackSeries'!T27-EnrlSC!AR27&lt;=0,"-",(1-EnrlSC!AR27/'Enrl-BackSeries'!T27)*100)</f>
        <v>71.550391728401635</v>
      </c>
      <c r="U27" s="45">
        <f>IF('Enrl-BackSeries'!U27-EnrlST!R27&lt;=0,"-",(1-EnrlST!R27/'Enrl-BackSeries'!U27)*100)</f>
        <v>38.368062413588774</v>
      </c>
      <c r="V27" s="45">
        <f>IF('Enrl-BackSeries'!V27-EnrlST!S27&lt;=0,"-",(1-EnrlST!S27/'Enrl-BackSeries'!V27)*100)</f>
        <v>40.741421159284741</v>
      </c>
      <c r="W27" s="45">
        <f>IF('Enrl-BackSeries'!W27-EnrlST!T27&lt;=0,"-",(1-EnrlST!T27/'Enrl-BackSeries'!W27)*100)</f>
        <v>39.483655547065531</v>
      </c>
      <c r="X27" s="45">
        <f>IF('Enrl-BackSeries'!X27-EnrlST!AD27&lt;=0,"-",(1-EnrlST!AD27/'Enrl-BackSeries'!X27)*100)</f>
        <v>58.996367499075276</v>
      </c>
      <c r="Y27" s="45">
        <f>IF('Enrl-BackSeries'!Y27-EnrlST!AE27&lt;=0,"-",(1-EnrlST!AE27/'Enrl-BackSeries'!Y27)*100)</f>
        <v>63.441566549584415</v>
      </c>
      <c r="Z27" s="45">
        <f>IF('Enrl-BackSeries'!Z27-EnrlST!AF27&lt;=0,"-",(1-EnrlST!AF27/'Enrl-BackSeries'!Z27)*100)</f>
        <v>61.068910966272227</v>
      </c>
      <c r="AA27" s="45">
        <f>IF('Enrl-BackSeries'!AA27-EnrlST!AP27&lt;=0,"-",(1-EnrlST!AP27/'Enrl-BackSeries'!AA27)*100)</f>
        <v>57.525821734396608</v>
      </c>
      <c r="AB27" s="45">
        <f>IF('Enrl-BackSeries'!AB27-EnrlST!AQ27&lt;=0,"-",(1-EnrlST!AQ27/'Enrl-BackSeries'!AB27)*100)</f>
        <v>69.960958296362023</v>
      </c>
      <c r="AC27" s="45">
        <f>IF('Enrl-BackSeries'!AC27-EnrlST!AR27&lt;=0,"-",(1-EnrlST!AR27/'Enrl-BackSeries'!AC27)*100)</f>
        <v>63.72752349062587</v>
      </c>
    </row>
    <row r="28" spans="1:29" s="35" customFormat="1" ht="18.75" customHeight="1">
      <c r="A28" s="25">
        <v>23</v>
      </c>
      <c r="B28" s="26" t="s">
        <v>33</v>
      </c>
      <c r="C28" s="45">
        <f>IF('Enrl-BackSeries'!C28-EnrlAll!R28&lt;0,"-",(1-EnrlAll!R28/'Enrl-BackSeries'!C28)*100)</f>
        <v>14.681965021722176</v>
      </c>
      <c r="D28" s="45">
        <f>IF('Enrl-BackSeries'!D28-EnrlAll!S28&lt;0,"-",(1-EnrlAll!S28/'Enrl-BackSeries'!D28)*100)</f>
        <v>2.903065038624475</v>
      </c>
      <c r="E28" s="45">
        <f>IF('Enrl-BackSeries'!E28-EnrlAll!T28&lt;0,"-",(1-EnrlAll!T28/'Enrl-BackSeries'!E28)*100)</f>
        <v>9.1219196612362552</v>
      </c>
      <c r="F28" s="45">
        <f>IF('Enrl-BackSeries'!F28-EnrlAll!AD28&lt;0,"-",(1-EnrlAll!AD28/'Enrl-BackSeries'!F28)*100)</f>
        <v>54.820864067439409</v>
      </c>
      <c r="G28" s="45">
        <f>IF('Enrl-BackSeries'!G28-EnrlAll!AE28&lt;0,"-",(1-EnrlAll!AE28/'Enrl-BackSeries'!G28)*100)</f>
        <v>42.417374881964122</v>
      </c>
      <c r="H28" s="45">
        <f>IF('Enrl-BackSeries'!H28-EnrlAll!AF28&lt;0,"-",(1-EnrlAll!AF28/'Enrl-BackSeries'!H28)*100)</f>
        <v>48.844298844298841</v>
      </c>
      <c r="I28" s="45">
        <f>IF('Enrl-BackSeries'!I28-EnrlAll!AP28&lt;0,"-",(1-EnrlAll!AP28/'Enrl-BackSeries'!I28)*100)</f>
        <v>61.460310371776259</v>
      </c>
      <c r="J28" s="45">
        <f>IF('Enrl-BackSeries'!J28-EnrlAll!AQ28&lt;0,"-",(1-EnrlAll!AQ28/'Enrl-BackSeries'!J28)*100)</f>
        <v>53.127885503231767</v>
      </c>
      <c r="K28" s="45">
        <f>IF('Enrl-BackSeries'!K28-EnrlAll!AR28&lt;0,"-",(1-EnrlAll!AR28/'Enrl-BackSeries'!K28)*100)</f>
        <v>57.363373247829294</v>
      </c>
      <c r="L28" s="45">
        <f>IF('Enrl-BackSeries'!L28-EnrlSC!R28&lt;=0,"-",(1-EnrlSC!R28/'Enrl-BackSeries'!L28)*100)</f>
        <v>26.045883940620783</v>
      </c>
      <c r="M28" s="45">
        <f>IF('Enrl-BackSeries'!M28-EnrlSC!S28&lt;=0,"-",(1-EnrlSC!S28/'Enrl-BackSeries'!M28)*100)</f>
        <v>17.384615384615387</v>
      </c>
      <c r="N28" s="45">
        <f>IF('Enrl-BackSeries'!N28-EnrlSC!T28&lt;=0,"-",(1-EnrlSC!T28/'Enrl-BackSeries'!N28)*100)</f>
        <v>21.998562185478075</v>
      </c>
      <c r="O28" s="45">
        <f>IF('Enrl-BackSeries'!O28-EnrlSC!AD28&lt;=0,"-",(1-EnrlSC!AD28/'Enrl-BackSeries'!O28)*100)</f>
        <v>71.15384615384616</v>
      </c>
      <c r="P28" s="45">
        <f>IF('Enrl-BackSeries'!P28-EnrlSC!AE28&lt;=0,"-",(1-EnrlSC!AE28/'Enrl-BackSeries'!P28)*100)</f>
        <v>55.990220048899751</v>
      </c>
      <c r="Q28" s="45">
        <f>IF('Enrl-BackSeries'!Q28-EnrlSC!AF28&lt;=0,"-",(1-EnrlSC!AF28/'Enrl-BackSeries'!Q28)*100)</f>
        <v>64.082098061573546</v>
      </c>
      <c r="R28" s="45">
        <f>IF('Enrl-BackSeries'!R28-EnrlSC!AP28&lt;=0,"-",(1-EnrlSC!AP28/'Enrl-BackSeries'!R28)*100)</f>
        <v>72.803347280334734</v>
      </c>
      <c r="S28" s="45">
        <f>IF('Enrl-BackSeries'!S28-EnrlSC!AQ28&lt;=0,"-",(1-EnrlSC!AQ28/'Enrl-BackSeries'!S28)*100)</f>
        <v>70.454545454545453</v>
      </c>
      <c r="T28" s="45">
        <f>IF('Enrl-BackSeries'!T28-EnrlSC!AR28&lt;=0,"-",(1-EnrlSC!AR28/'Enrl-BackSeries'!T28)*100)</f>
        <v>71.677559912854022</v>
      </c>
      <c r="U28" s="45">
        <f>IF('Enrl-BackSeries'!U28-EnrlST!R28&lt;=0,"-",(1-EnrlST!R28/'Enrl-BackSeries'!U28)*100)</f>
        <v>20.817518248175183</v>
      </c>
      <c r="V28" s="45" t="str">
        <f>IF('Enrl-BackSeries'!V28-EnrlST!S28&lt;=0,"-",(1-EnrlST!S28/'Enrl-BackSeries'!V28)*100)</f>
        <v>-</v>
      </c>
      <c r="W28" s="45">
        <f>IF('Enrl-BackSeries'!W28-EnrlST!T28&lt;=0,"-",(1-EnrlST!T28/'Enrl-BackSeries'!W28)*100)</f>
        <v>10.630407911001239</v>
      </c>
      <c r="X28" s="45">
        <f>IF('Enrl-BackSeries'!X28-EnrlST!AD28&lt;=0,"-",(1-EnrlST!AD28/'Enrl-BackSeries'!X28)*100)</f>
        <v>56.216867469879517</v>
      </c>
      <c r="Y28" s="45">
        <f>IF('Enrl-BackSeries'!Y28-EnrlST!AE28&lt;=0,"-",(1-EnrlST!AE28/'Enrl-BackSeries'!Y28)*100)</f>
        <v>39.6327467482785</v>
      </c>
      <c r="Z28" s="45">
        <f>IF('Enrl-BackSeries'!Z28-EnrlST!AF28&lt;=0,"-",(1-EnrlST!AF28/'Enrl-BackSeries'!Z28)*100)</f>
        <v>48.160079296245819</v>
      </c>
      <c r="AA28" s="45">
        <f>IF('Enrl-BackSeries'!AA28-EnrlST!AP28&lt;=0,"-",(1-EnrlST!AP28/'Enrl-BackSeries'!AA28)*100)</f>
        <v>39.851485148514854</v>
      </c>
      <c r="AB28" s="45">
        <f>IF('Enrl-BackSeries'!AB28-EnrlST!AQ28&lt;=0,"-",(1-EnrlST!AQ28/'Enrl-BackSeries'!AB28)*100)</f>
        <v>22.064989517819711</v>
      </c>
      <c r="AC28" s="45">
        <f>IF('Enrl-BackSeries'!AC28-EnrlST!AR28&lt;=0,"-",(1-EnrlST!AR28/'Enrl-BackSeries'!AC28)*100)</f>
        <v>31.211812627291245</v>
      </c>
    </row>
    <row r="29" spans="1:29" s="35" customFormat="1" ht="18.75" customHeight="1">
      <c r="A29" s="25">
        <v>24</v>
      </c>
      <c r="B29" s="26" t="s">
        <v>34</v>
      </c>
      <c r="C29" s="45" t="str">
        <f>IF('Enrl-BackSeries'!C29-EnrlAll!R29&lt;0,"-",(1-EnrlAll!R29/'Enrl-BackSeries'!C29)*100)</f>
        <v>-</v>
      </c>
      <c r="D29" s="45" t="str">
        <f>IF('Enrl-BackSeries'!D29-EnrlAll!S29&lt;0,"-",(1-EnrlAll!S29/'Enrl-BackSeries'!D29)*100)</f>
        <v>-</v>
      </c>
      <c r="E29" s="45" t="str">
        <f>IF('Enrl-BackSeries'!E29-EnrlAll!T29&lt;0,"-",(1-EnrlAll!T29/'Enrl-BackSeries'!E29)*100)</f>
        <v>-</v>
      </c>
      <c r="F29" s="45" t="str">
        <f>IF('Enrl-BackSeries'!F29-EnrlAll!AD29&lt;0,"-",(1-EnrlAll!AD29/'Enrl-BackSeries'!F29)*100)</f>
        <v>-</v>
      </c>
      <c r="G29" s="45" t="str">
        <f>IF('Enrl-BackSeries'!G29-EnrlAll!AE29&lt;0,"-",(1-EnrlAll!AE29/'Enrl-BackSeries'!G29)*100)</f>
        <v>-</v>
      </c>
      <c r="H29" s="45" t="str">
        <f>IF('Enrl-BackSeries'!H29-EnrlAll!AF29&lt;0,"-",(1-EnrlAll!AF29/'Enrl-BackSeries'!H29)*100)</f>
        <v>-</v>
      </c>
      <c r="I29" s="45">
        <f>IF('Enrl-BackSeries'!I29-EnrlAll!AP29&lt;0,"-",(1-EnrlAll!AP29/'Enrl-BackSeries'!I29)*100)</f>
        <v>40.972983361627989</v>
      </c>
      <c r="J29" s="45">
        <f>IF('Enrl-BackSeries'!J29-EnrlAll!AQ29&lt;0,"-",(1-EnrlAll!AQ29/'Enrl-BackSeries'!J29)*100)</f>
        <v>35.041142049129768</v>
      </c>
      <c r="K29" s="45">
        <f>IF('Enrl-BackSeries'!K29-EnrlAll!AR29&lt;0,"-",(1-EnrlAll!AR29/'Enrl-BackSeries'!K29)*100)</f>
        <v>38.121316826835802</v>
      </c>
      <c r="L29" s="45" t="str">
        <f>IF('Enrl-BackSeries'!L29-EnrlSC!R29&lt;=0,"-",(1-EnrlSC!R29/'Enrl-BackSeries'!L29)*100)</f>
        <v>-</v>
      </c>
      <c r="M29" s="45" t="str">
        <f>IF('Enrl-BackSeries'!M29-EnrlSC!S29&lt;=0,"-",(1-EnrlSC!S29/'Enrl-BackSeries'!M29)*100)</f>
        <v>-</v>
      </c>
      <c r="N29" s="45" t="str">
        <f>IF('Enrl-BackSeries'!N29-EnrlSC!T29&lt;=0,"-",(1-EnrlSC!T29/'Enrl-BackSeries'!N29)*100)</f>
        <v>-</v>
      </c>
      <c r="O29" s="45" t="str">
        <f>IF('Enrl-BackSeries'!O29-EnrlSC!AD29&lt;=0,"-",(1-EnrlSC!AD29/'Enrl-BackSeries'!O29)*100)</f>
        <v>-</v>
      </c>
      <c r="P29" s="45" t="str">
        <f>IF('Enrl-BackSeries'!P29-EnrlSC!AE29&lt;=0,"-",(1-EnrlSC!AE29/'Enrl-BackSeries'!P29)*100)</f>
        <v>-</v>
      </c>
      <c r="Q29" s="45" t="str">
        <f>IF('Enrl-BackSeries'!Q29-EnrlSC!AF29&lt;=0,"-",(1-EnrlSC!AF29/'Enrl-BackSeries'!Q29)*100)</f>
        <v>-</v>
      </c>
      <c r="R29" s="45">
        <f>IF('Enrl-BackSeries'!R29-EnrlSC!AP29&lt;=0,"-",(1-EnrlSC!AP29/'Enrl-BackSeries'!R29)*100)</f>
        <v>42.811206108512124</v>
      </c>
      <c r="S29" s="45">
        <f>IF('Enrl-BackSeries'!S29-EnrlSC!AQ29&lt;=0,"-",(1-EnrlSC!AQ29/'Enrl-BackSeries'!S29)*100)</f>
        <v>36.337832324938667</v>
      </c>
      <c r="T29" s="45">
        <f>IF('Enrl-BackSeries'!T29-EnrlSC!AR29&lt;=0,"-",(1-EnrlSC!AR29/'Enrl-BackSeries'!T29)*100)</f>
        <v>39.681785733134447</v>
      </c>
      <c r="U29" s="45" t="str">
        <f>IF('Enrl-BackSeries'!U29-EnrlST!R29&lt;=0,"-",(1-EnrlST!R29/'Enrl-BackSeries'!U29)*100)</f>
        <v>-</v>
      </c>
      <c r="V29" s="45" t="str">
        <f>IF('Enrl-BackSeries'!V29-EnrlST!S29&lt;=0,"-",(1-EnrlST!S29/'Enrl-BackSeries'!V29)*100)</f>
        <v>-</v>
      </c>
      <c r="W29" s="45" t="str">
        <f>IF('Enrl-BackSeries'!W29-EnrlST!T29&lt;=0,"-",(1-EnrlST!T29/'Enrl-BackSeries'!W29)*100)</f>
        <v>-</v>
      </c>
      <c r="X29" s="45" t="str">
        <f>IF('Enrl-BackSeries'!X29-EnrlST!AD29&lt;=0,"-",(1-EnrlST!AD29/'Enrl-BackSeries'!X29)*100)</f>
        <v>-</v>
      </c>
      <c r="Y29" s="45" t="str">
        <f>IF('Enrl-BackSeries'!Y29-EnrlST!AE29&lt;=0,"-",(1-EnrlST!AE29/'Enrl-BackSeries'!Y29)*100)</f>
        <v>-</v>
      </c>
      <c r="Z29" s="45" t="str">
        <f>IF('Enrl-BackSeries'!Z29-EnrlST!AF29&lt;=0,"-",(1-EnrlST!AF29/'Enrl-BackSeries'!Z29)*100)</f>
        <v>-</v>
      </c>
      <c r="AA29" s="45">
        <f>IF('Enrl-BackSeries'!AA29-EnrlST!AP29&lt;=0,"-",(1-EnrlST!AP29/'Enrl-BackSeries'!AA29)*100)</f>
        <v>68.379564215066551</v>
      </c>
      <c r="AB29" s="45">
        <f>IF('Enrl-BackSeries'!AB29-EnrlST!AQ29&lt;=0,"-",(1-EnrlST!AQ29/'Enrl-BackSeries'!AB29)*100)</f>
        <v>64.438806753564876</v>
      </c>
      <c r="AC29" s="45">
        <f>IF('Enrl-BackSeries'!AC29-EnrlST!AR29&lt;=0,"-",(1-EnrlST!AR29/'Enrl-BackSeries'!AC29)*100)</f>
        <v>66.568856017364737</v>
      </c>
    </row>
    <row r="30" spans="1:29" s="35" customFormat="1" ht="18.75" customHeight="1">
      <c r="A30" s="25">
        <v>25</v>
      </c>
      <c r="B30" s="26" t="s">
        <v>35</v>
      </c>
      <c r="C30" s="45">
        <f>IF('Enrl-BackSeries'!C30-EnrlAll!R30&lt;0,"-",(1-EnrlAll!R30/'Enrl-BackSeries'!C30)*100)</f>
        <v>27.111159969951814</v>
      </c>
      <c r="D30" s="45">
        <f>IF('Enrl-BackSeries'!D30-EnrlAll!S30&lt;0,"-",(1-EnrlAll!S30/'Enrl-BackSeries'!D30)*100)</f>
        <v>26.531728665207876</v>
      </c>
      <c r="E30" s="45">
        <f>IF('Enrl-BackSeries'!E30-EnrlAll!T30&lt;0,"-",(1-EnrlAll!T30/'Enrl-BackSeries'!E30)*100)</f>
        <v>26.830744211113522</v>
      </c>
      <c r="F30" s="45">
        <f>IF('Enrl-BackSeries'!F30-EnrlAll!AD30&lt;0,"-",(1-EnrlAll!AD30/'Enrl-BackSeries'!F30)*100)</f>
        <v>44.767229466795854</v>
      </c>
      <c r="G30" s="45">
        <f>IF('Enrl-BackSeries'!G30-EnrlAll!AE30&lt;0,"-",(1-EnrlAll!AE30/'Enrl-BackSeries'!G30)*100)</f>
        <v>39.668166880983001</v>
      </c>
      <c r="H30" s="45">
        <f>IF('Enrl-BackSeries'!H30-EnrlAll!AF30&lt;0,"-",(1-EnrlAll!AF30/'Enrl-BackSeries'!H30)*100)</f>
        <v>42.367025077552945</v>
      </c>
      <c r="I30" s="45">
        <f>IF('Enrl-BackSeries'!I30-EnrlAll!AP30&lt;0,"-",(1-EnrlAll!AP30/'Enrl-BackSeries'!I30)*100)</f>
        <v>50.914513636853641</v>
      </c>
      <c r="J30" s="45">
        <f>IF('Enrl-BackSeries'!J30-EnrlAll!AQ30&lt;0,"-",(1-EnrlAll!AQ30/'Enrl-BackSeries'!J30)*100)</f>
        <v>48.252100189694559</v>
      </c>
      <c r="K30" s="45">
        <f>IF('Enrl-BackSeries'!K30-EnrlAll!AR30&lt;0,"-",(1-EnrlAll!AR30/'Enrl-BackSeries'!K30)*100)</f>
        <v>49.632873648900485</v>
      </c>
      <c r="L30" s="45">
        <f>IF('Enrl-BackSeries'!L30-EnrlSC!R30&lt;=0,"-",(1-EnrlSC!R30/'Enrl-BackSeries'!L30)*100)</f>
        <v>16.387546363942906</v>
      </c>
      <c r="M30" s="45">
        <f>IF('Enrl-BackSeries'!M30-EnrlSC!S30&lt;=0,"-",(1-EnrlSC!S30/'Enrl-BackSeries'!M30)*100)</f>
        <v>14.802085802322829</v>
      </c>
      <c r="N30" s="45">
        <f>IF('Enrl-BackSeries'!N30-EnrlSC!T30&lt;=0,"-",(1-EnrlSC!T30/'Enrl-BackSeries'!N30)*100)</f>
        <v>15.615806172483415</v>
      </c>
      <c r="O30" s="45">
        <f>IF('Enrl-BackSeries'!O30-EnrlSC!AD30&lt;=0,"-",(1-EnrlSC!AD30/'Enrl-BackSeries'!O30)*100)</f>
        <v>32.536848851048248</v>
      </c>
      <c r="P30" s="45">
        <f>IF('Enrl-BackSeries'!P30-EnrlSC!AE30&lt;=0,"-",(1-EnrlSC!AE30/'Enrl-BackSeries'!P30)*100)</f>
        <v>24.042338709677423</v>
      </c>
      <c r="Q30" s="45">
        <f>IF('Enrl-BackSeries'!Q30-EnrlSC!AF30&lt;=0,"-",(1-EnrlSC!AF30/'Enrl-BackSeries'!Q30)*100)</f>
        <v>28.493978793839659</v>
      </c>
      <c r="R30" s="45">
        <f>IF('Enrl-BackSeries'!R30-EnrlSC!AP30&lt;=0,"-",(1-EnrlSC!AP30/'Enrl-BackSeries'!R30)*100)</f>
        <v>35.841147269718697</v>
      </c>
      <c r="S30" s="45">
        <f>IF('Enrl-BackSeries'!S30-EnrlSC!AQ30&lt;=0,"-",(1-EnrlSC!AQ30/'Enrl-BackSeries'!S30)*100)</f>
        <v>34.026465028355389</v>
      </c>
      <c r="T30" s="45">
        <f>IF('Enrl-BackSeries'!T30-EnrlSC!AR30&lt;=0,"-",(1-EnrlSC!AR30/'Enrl-BackSeries'!T30)*100)</f>
        <v>34.964915283244913</v>
      </c>
      <c r="U30" s="45">
        <f>IF('Enrl-BackSeries'!U30-EnrlST!R30&lt;=0,"-",(1-EnrlST!R30/'Enrl-BackSeries'!U30)*100)</f>
        <v>41.290652807307659</v>
      </c>
      <c r="V30" s="45">
        <f>IF('Enrl-BackSeries'!V30-EnrlST!S30&lt;=0,"-",(1-EnrlST!S30/'Enrl-BackSeries'!V30)*100)</f>
        <v>43.56990831696136</v>
      </c>
      <c r="W30" s="45">
        <f>IF('Enrl-BackSeries'!W30-EnrlST!T30&lt;=0,"-",(1-EnrlST!T30/'Enrl-BackSeries'!W30)*100)</f>
        <v>42.408187838651415</v>
      </c>
      <c r="X30" s="45">
        <f>IF('Enrl-BackSeries'!X30-EnrlST!AD30&lt;=0,"-",(1-EnrlST!AD30/'Enrl-BackSeries'!X30)*100)</f>
        <v>57.534823339531947</v>
      </c>
      <c r="Y30" s="45">
        <f>IF('Enrl-BackSeries'!Y30-EnrlST!AE30&lt;=0,"-",(1-EnrlST!AE30/'Enrl-BackSeries'!Y30)*100)</f>
        <v>58.370916506529667</v>
      </c>
      <c r="Z30" s="45">
        <f>IF('Enrl-BackSeries'!Z30-EnrlST!AF30&lt;=0,"-",(1-EnrlST!AF30/'Enrl-BackSeries'!Z30)*100)</f>
        <v>57.92962962962963</v>
      </c>
      <c r="AA30" s="45">
        <f>IF('Enrl-BackSeries'!AA30-EnrlST!AP30&lt;=0,"-",(1-EnrlST!AP30/'Enrl-BackSeries'!AA30)*100)</f>
        <v>66.871051653660345</v>
      </c>
      <c r="AB30" s="45">
        <f>IF('Enrl-BackSeries'!AB30-EnrlST!AQ30&lt;=0,"-",(1-EnrlST!AQ30/'Enrl-BackSeries'!AB30)*100)</f>
        <v>67.702471250305834</v>
      </c>
      <c r="AC30" s="45">
        <f>IF('Enrl-BackSeries'!AC30-EnrlST!AR30&lt;=0,"-",(1-EnrlST!AR30/'Enrl-BackSeries'!AC30)*100)</f>
        <v>67.267459947114645</v>
      </c>
    </row>
    <row r="31" spans="1:29" s="35" customFormat="1" ht="18.75" customHeight="1">
      <c r="A31" s="25">
        <v>26</v>
      </c>
      <c r="B31" s="26" t="s">
        <v>36</v>
      </c>
      <c r="C31" s="45">
        <f>IF('Enrl-BackSeries'!C31-EnrlAll!R31&lt;0,"-",(1-EnrlAll!R31/'Enrl-BackSeries'!C31)*100)</f>
        <v>15.344182440864385</v>
      </c>
      <c r="D31" s="45">
        <f>IF('Enrl-BackSeries'!D31-EnrlAll!S31&lt;0,"-",(1-EnrlAll!S31/'Enrl-BackSeries'!D31)*100)</f>
        <v>22.185184869436224</v>
      </c>
      <c r="E31" s="45">
        <f>IF('Enrl-BackSeries'!E31-EnrlAll!T31&lt;0,"-",(1-EnrlAll!T31/'Enrl-BackSeries'!E31)*100)</f>
        <v>18.60864126275429</v>
      </c>
      <c r="F31" s="45">
        <f>IF('Enrl-BackSeries'!F31-EnrlAll!AD31&lt;0,"-",(1-EnrlAll!AD31/'Enrl-BackSeries'!F31)*100)</f>
        <v>49.211069505626362</v>
      </c>
      <c r="G31" s="45">
        <f>IF('Enrl-BackSeries'!G31-EnrlAll!AE31&lt;0,"-",(1-EnrlAll!AE31/'Enrl-BackSeries'!G31)*100)</f>
        <v>51.25620608495646</v>
      </c>
      <c r="H31" s="45">
        <f>IF('Enrl-BackSeries'!H31-EnrlAll!AF31&lt;0,"-",(1-EnrlAll!AF31/'Enrl-BackSeries'!H31)*100)</f>
        <v>50.161527791863222</v>
      </c>
      <c r="I31" s="45">
        <f>IF('Enrl-BackSeries'!I31-EnrlAll!AP31&lt;0,"-",(1-EnrlAll!AP31/'Enrl-BackSeries'!I31)*100)</f>
        <v>44.17558243307532</v>
      </c>
      <c r="J31" s="45">
        <f>IF('Enrl-BackSeries'!J31-EnrlAll!AQ31&lt;0,"-",(1-EnrlAll!AQ31/'Enrl-BackSeries'!J31)*100)</f>
        <v>50.719380152578239</v>
      </c>
      <c r="K31" s="45">
        <f>IF('Enrl-BackSeries'!K31-EnrlAll!AR31&lt;0,"-",(1-EnrlAll!AR31/'Enrl-BackSeries'!K31)*100)</f>
        <v>47.218613418474952</v>
      </c>
      <c r="L31" s="45">
        <f>IF('Enrl-BackSeries'!L31-EnrlSC!R31&lt;=0,"-",(1-EnrlSC!R31/'Enrl-BackSeries'!L31)*100)</f>
        <v>25.657306413257054</v>
      </c>
      <c r="M31" s="45">
        <f>IF('Enrl-BackSeries'!M31-EnrlSC!S31&lt;=0,"-",(1-EnrlSC!S31/'Enrl-BackSeries'!M31)*100)</f>
        <v>36.575598601271608</v>
      </c>
      <c r="N31" s="45">
        <f>IF('Enrl-BackSeries'!N31-EnrlSC!T31&lt;=0,"-",(1-EnrlSC!T31/'Enrl-BackSeries'!N31)*100)</f>
        <v>31.440428462968118</v>
      </c>
      <c r="O31" s="45">
        <f>IF('Enrl-BackSeries'!O31-EnrlSC!AD31&lt;=0,"-",(1-EnrlSC!AD31/'Enrl-BackSeries'!O31)*100)</f>
        <v>52.404402091432289</v>
      </c>
      <c r="P31" s="45">
        <f>IF('Enrl-BackSeries'!P31-EnrlSC!AE31&lt;=0,"-",(1-EnrlSC!AE31/'Enrl-BackSeries'!P31)*100)</f>
        <v>36.467045409624063</v>
      </c>
      <c r="Q31" s="45">
        <f>IF('Enrl-BackSeries'!Q31-EnrlSC!AF31&lt;=0,"-",(1-EnrlSC!AF31/'Enrl-BackSeries'!Q31)*100)</f>
        <v>45.717323760525794</v>
      </c>
      <c r="R31" s="45">
        <f>IF('Enrl-BackSeries'!R31-EnrlSC!AP31&lt;=0,"-",(1-EnrlSC!AP31/'Enrl-BackSeries'!R31)*100)</f>
        <v>53.798814331469956</v>
      </c>
      <c r="S31" s="45">
        <f>IF('Enrl-BackSeries'!S31-EnrlSC!AQ31&lt;=0,"-",(1-EnrlSC!AQ31/'Enrl-BackSeries'!S31)*100)</f>
        <v>51.07860737514347</v>
      </c>
      <c r="T31" s="45">
        <f>IF('Enrl-BackSeries'!T31-EnrlSC!AR31&lt;=0,"-",(1-EnrlSC!AR31/'Enrl-BackSeries'!T31)*100)</f>
        <v>52.526479859635302</v>
      </c>
      <c r="U31" s="45">
        <f>IF('Enrl-BackSeries'!U31-EnrlST!R31&lt;=0,"-",(1-EnrlST!R31/'Enrl-BackSeries'!U31)*100)</f>
        <v>23.57241142070864</v>
      </c>
      <c r="V31" s="45">
        <f>IF('Enrl-BackSeries'!V31-EnrlST!S31&lt;=0,"-",(1-EnrlST!S31/'Enrl-BackSeries'!V31)*100)</f>
        <v>28.004875712855338</v>
      </c>
      <c r="W31" s="45">
        <f>IF('Enrl-BackSeries'!W31-EnrlST!T31&lt;=0,"-",(1-EnrlST!T31/'Enrl-BackSeries'!W31)*100)</f>
        <v>25.774979990049108</v>
      </c>
      <c r="X31" s="45" t="str">
        <f>IF('Enrl-BackSeries'!X31-EnrlST!AD31&lt;=0,"-",(1-EnrlST!AD31/'Enrl-BackSeries'!X31)*100)</f>
        <v>-</v>
      </c>
      <c r="Y31" s="45" t="str">
        <f>IF('Enrl-BackSeries'!Y31-EnrlST!AE31&lt;=0,"-",(1-EnrlST!AE31/'Enrl-BackSeries'!Y31)*100)</f>
        <v>-</v>
      </c>
      <c r="Z31" s="45" t="str">
        <f>IF('Enrl-BackSeries'!Z31-EnrlST!AF31&lt;=0,"-",(1-EnrlST!AF31/'Enrl-BackSeries'!Z31)*100)</f>
        <v>-</v>
      </c>
      <c r="AA31" s="45">
        <f>IF('Enrl-BackSeries'!AA31-EnrlST!AP31&lt;=0,"-",(1-EnrlST!AP31/'Enrl-BackSeries'!AA31)*100)</f>
        <v>36.33908292922473</v>
      </c>
      <c r="AB31" s="45">
        <f>IF('Enrl-BackSeries'!AB31-EnrlST!AQ31&lt;=0,"-",(1-EnrlST!AQ31/'Enrl-BackSeries'!AB31)*100)</f>
        <v>24.434287426944401</v>
      </c>
      <c r="AC31" s="45">
        <f>IF('Enrl-BackSeries'!AC31-EnrlST!AR31&lt;=0,"-",(1-EnrlST!AR31/'Enrl-BackSeries'!AC31)*100)</f>
        <v>30.978169180416369</v>
      </c>
    </row>
    <row r="32" spans="1:29" s="35" customFormat="1" ht="18.75" customHeight="1">
      <c r="A32" s="25">
        <v>27</v>
      </c>
      <c r="B32" s="26" t="s">
        <v>37</v>
      </c>
      <c r="C32" s="45">
        <f>IF('Enrl-BackSeries'!C32-EnrlAll!R32&lt;0,"-",(1-EnrlAll!R32/'Enrl-BackSeries'!C32)*100)</f>
        <v>35.73652417848362</v>
      </c>
      <c r="D32" s="45">
        <f>IF('Enrl-BackSeries'!D32-EnrlAll!S32&lt;0,"-",(1-EnrlAll!S32/'Enrl-BackSeries'!D32)*100)</f>
        <v>33.675648267834056</v>
      </c>
      <c r="E32" s="45">
        <f>IF('Enrl-BackSeries'!E32-EnrlAll!T32&lt;0,"-",(1-EnrlAll!T32/'Enrl-BackSeries'!E32)*100)</f>
        <v>34.760958195574119</v>
      </c>
      <c r="F32" s="45">
        <f>IF('Enrl-BackSeries'!F32-EnrlAll!AD32&lt;0,"-",(1-EnrlAll!AD32/'Enrl-BackSeries'!F32)*100)</f>
        <v>41.108306856615762</v>
      </c>
      <c r="G32" s="45">
        <f>IF('Enrl-BackSeries'!G32-EnrlAll!AE32&lt;0,"-",(1-EnrlAll!AE32/'Enrl-BackSeries'!G32)*100)</f>
        <v>40.166587633754617</v>
      </c>
      <c r="H32" s="45">
        <f>IF('Enrl-BackSeries'!H32-EnrlAll!AF32&lt;0,"-",(1-EnrlAll!AF32/'Enrl-BackSeries'!H32)*100)</f>
        <v>40.653999555733854</v>
      </c>
      <c r="I32" s="45">
        <f>IF('Enrl-BackSeries'!I32-EnrlAll!AP32&lt;0,"-",(1-EnrlAll!AP32/'Enrl-BackSeries'!I32)*100)</f>
        <v>35.105355861439101</v>
      </c>
      <c r="J32" s="45">
        <f>IF('Enrl-BackSeries'!J32-EnrlAll!AQ32&lt;0,"-",(1-EnrlAll!AQ32/'Enrl-BackSeries'!J32)*100)</f>
        <v>37.444682170758739</v>
      </c>
      <c r="K32" s="45">
        <f>IF('Enrl-BackSeries'!K32-EnrlAll!AR32&lt;0,"-",(1-EnrlAll!AR32/'Enrl-BackSeries'!K32)*100)</f>
        <v>36.236391388878594</v>
      </c>
      <c r="L32" s="45">
        <f>IF('Enrl-BackSeries'!L32-EnrlSC!R32&lt;=0,"-",(1-EnrlSC!R32/'Enrl-BackSeries'!L32)*100)</f>
        <v>33.072261311694319</v>
      </c>
      <c r="M32" s="45">
        <f>IF('Enrl-BackSeries'!M32-EnrlSC!S32&lt;=0,"-",(1-EnrlSC!S32/'Enrl-BackSeries'!M32)*100)</f>
        <v>29.746572496884085</v>
      </c>
      <c r="N32" s="45">
        <f>IF('Enrl-BackSeries'!N32-EnrlSC!T32&lt;=0,"-",(1-EnrlSC!T32/'Enrl-BackSeries'!N32)*100)</f>
        <v>31.472277372846346</v>
      </c>
      <c r="O32" s="45">
        <f>IF('Enrl-BackSeries'!O32-EnrlSC!AD32&lt;=0,"-",(1-EnrlSC!AD32/'Enrl-BackSeries'!O32)*100)</f>
        <v>43.164219629927594</v>
      </c>
      <c r="P32" s="45">
        <f>IF('Enrl-BackSeries'!P32-EnrlSC!AE32&lt;=0,"-",(1-EnrlSC!AE32/'Enrl-BackSeries'!P32)*100)</f>
        <v>41.418155976100856</v>
      </c>
      <c r="Q32" s="45">
        <f>IF('Enrl-BackSeries'!Q32-EnrlSC!AF32&lt;=0,"-",(1-EnrlSC!AF32/'Enrl-BackSeries'!Q32)*100)</f>
        <v>42.311203692988208</v>
      </c>
      <c r="R32" s="45">
        <f>IF('Enrl-BackSeries'!R32-EnrlSC!AP32&lt;=0,"-",(1-EnrlSC!AP32/'Enrl-BackSeries'!R32)*100)</f>
        <v>42.966653890379462</v>
      </c>
      <c r="S32" s="45">
        <f>IF('Enrl-BackSeries'!S32-EnrlSC!AQ32&lt;=0,"-",(1-EnrlSC!AQ32/'Enrl-BackSeries'!S32)*100)</f>
        <v>48.097294108182041</v>
      </c>
      <c r="T32" s="45">
        <f>IF('Enrl-BackSeries'!T32-EnrlSC!AR32&lt;=0,"-",(1-EnrlSC!AR32/'Enrl-BackSeries'!T32)*100)</f>
        <v>45.47000942112426</v>
      </c>
      <c r="U32" s="45">
        <f>IF('Enrl-BackSeries'!U32-EnrlST!R32&lt;=0,"-",(1-EnrlST!R32/'Enrl-BackSeries'!U32)*100)</f>
        <v>50.585241730279897</v>
      </c>
      <c r="V32" s="45">
        <f>IF('Enrl-BackSeries'!V32-EnrlST!S32&lt;=0,"-",(1-EnrlST!S32/'Enrl-BackSeries'!V32)*100)</f>
        <v>40.448971107877782</v>
      </c>
      <c r="W32" s="45">
        <f>IF('Enrl-BackSeries'!W32-EnrlST!T32&lt;=0,"-",(1-EnrlST!T32/'Enrl-BackSeries'!W32)*100)</f>
        <v>46.030263403698854</v>
      </c>
      <c r="X32" s="45">
        <f>IF('Enrl-BackSeries'!X32-EnrlST!AD32&lt;=0,"-",(1-EnrlST!AD32/'Enrl-BackSeries'!X32)*100)</f>
        <v>47.73966578715919</v>
      </c>
      <c r="Y32" s="45">
        <f>IF('Enrl-BackSeries'!Y32-EnrlST!AE32&lt;=0,"-",(1-EnrlST!AE32/'Enrl-BackSeries'!Y32)*100)</f>
        <v>42.786949685534594</v>
      </c>
      <c r="Z32" s="45">
        <f>IF('Enrl-BackSeries'!Z32-EnrlST!AF32&lt;=0,"-",(1-EnrlST!AF32/'Enrl-BackSeries'!Z32)*100)</f>
        <v>45.400538382994526</v>
      </c>
      <c r="AA32" s="45">
        <f>IF('Enrl-BackSeries'!AA32-EnrlST!AP32&lt;=0,"-",(1-EnrlST!AP32/'Enrl-BackSeries'!AA32)*100)</f>
        <v>34.300149700598801</v>
      </c>
      <c r="AB32" s="45">
        <f>IF('Enrl-BackSeries'!AB32-EnrlST!AQ32&lt;=0,"-",(1-EnrlST!AQ32/'Enrl-BackSeries'!AB32)*100)</f>
        <v>35.360443622920513</v>
      </c>
      <c r="AC32" s="45">
        <f>IF('Enrl-BackSeries'!AC32-EnrlST!AR32&lt;=0,"-",(1-EnrlST!AR32/'Enrl-BackSeries'!AC32)*100)</f>
        <v>34.833550306862563</v>
      </c>
    </row>
    <row r="33" spans="1:29" s="35" customFormat="1" ht="18.75" customHeight="1">
      <c r="A33" s="25">
        <v>28</v>
      </c>
      <c r="B33" s="26" t="s">
        <v>38</v>
      </c>
      <c r="C33" s="45">
        <f>IF('Enrl-BackSeries'!C33-EnrlAll!R33&lt;0,"-",(1-EnrlAll!R33/'Enrl-BackSeries'!C33)*100)</f>
        <v>27.616854590657404</v>
      </c>
      <c r="D33" s="45">
        <f>IF('Enrl-BackSeries'!D33-EnrlAll!S33&lt;0,"-",(1-EnrlAll!S33/'Enrl-BackSeries'!D33)*100)</f>
        <v>20.826954624692195</v>
      </c>
      <c r="E33" s="45">
        <f>IF('Enrl-BackSeries'!E33-EnrlAll!T33&lt;0,"-",(1-EnrlAll!T33/'Enrl-BackSeries'!E33)*100)</f>
        <v>24.334546465959651</v>
      </c>
      <c r="F33" s="45">
        <f>IF('Enrl-BackSeries'!F33-EnrlAll!AD33&lt;0,"-",(1-EnrlAll!AD33/'Enrl-BackSeries'!F33)*100)</f>
        <v>46.199192149488596</v>
      </c>
      <c r="G33" s="45">
        <f>IF('Enrl-BackSeries'!G33-EnrlAll!AE33&lt;0,"-",(1-EnrlAll!AE33/'Enrl-BackSeries'!G33)*100)</f>
        <v>37.80934862828704</v>
      </c>
      <c r="H33" s="45">
        <f>IF('Enrl-BackSeries'!H33-EnrlAll!AF33&lt;0,"-",(1-EnrlAll!AF33/'Enrl-BackSeries'!H33)*100)</f>
        <v>42.102226423061815</v>
      </c>
      <c r="I33" s="45">
        <f>IF('Enrl-BackSeries'!I33-EnrlAll!AP33&lt;0,"-",(1-EnrlAll!AP33/'Enrl-BackSeries'!I33)*100)</f>
        <v>62.557909542600989</v>
      </c>
      <c r="J33" s="45">
        <f>IF('Enrl-BackSeries'!J33-EnrlAll!AQ33&lt;0,"-",(1-EnrlAll!AQ33/'Enrl-BackSeries'!J33)*100)</f>
        <v>58.495463239679971</v>
      </c>
      <c r="K33" s="45">
        <f>IF('Enrl-BackSeries'!K33-EnrlAll!AR33&lt;0,"-",(1-EnrlAll!AR33/'Enrl-BackSeries'!K33)*100)</f>
        <v>60.563743653703781</v>
      </c>
      <c r="L33" s="45">
        <f>IF('Enrl-BackSeries'!L33-EnrlSC!R33&lt;=0,"-",(1-EnrlSC!R33/'Enrl-BackSeries'!L33)*100)</f>
        <v>19.545610056647355</v>
      </c>
      <c r="M33" s="45">
        <f>IF('Enrl-BackSeries'!M33-EnrlSC!S33&lt;=0,"-",(1-EnrlSC!S33/'Enrl-BackSeries'!M33)*100)</f>
        <v>17.279248274395307</v>
      </c>
      <c r="N33" s="45">
        <f>IF('Enrl-BackSeries'!N33-EnrlSC!T33&lt;=0,"-",(1-EnrlSC!T33/'Enrl-BackSeries'!N33)*100)</f>
        <v>18.447741623283875</v>
      </c>
      <c r="O33" s="45">
        <f>IF('Enrl-BackSeries'!O33-EnrlSC!AD33&lt;=0,"-",(1-EnrlSC!AD33/'Enrl-BackSeries'!O33)*100)</f>
        <v>39.064823451231177</v>
      </c>
      <c r="P33" s="45">
        <f>IF('Enrl-BackSeries'!P33-EnrlSC!AE33&lt;=0,"-",(1-EnrlSC!AE33/'Enrl-BackSeries'!P33)*100)</f>
        <v>35.402847157531461</v>
      </c>
      <c r="Q33" s="45">
        <f>IF('Enrl-BackSeries'!Q33-EnrlSC!AF33&lt;=0,"-",(1-EnrlSC!AF33/'Enrl-BackSeries'!Q33)*100)</f>
        <v>37.277621740702486</v>
      </c>
      <c r="R33" s="45">
        <f>IF('Enrl-BackSeries'!R33-EnrlSC!AP33&lt;=0,"-",(1-EnrlSC!AP33/'Enrl-BackSeries'!R33)*100)</f>
        <v>64.934932458795657</v>
      </c>
      <c r="S33" s="45">
        <f>IF('Enrl-BackSeries'!S33-EnrlSC!AQ33&lt;=0,"-",(1-EnrlSC!AQ33/'Enrl-BackSeries'!S33)*100)</f>
        <v>65.123111798257526</v>
      </c>
      <c r="T33" s="45">
        <f>IF('Enrl-BackSeries'!T33-EnrlSC!AR33&lt;=0,"-",(1-EnrlSC!AR33/'Enrl-BackSeries'!T33)*100)</f>
        <v>65.027901965717689</v>
      </c>
      <c r="U33" s="45">
        <f>IF('Enrl-BackSeries'!U33-EnrlST!R33&lt;=0,"-",(1-EnrlST!R33/'Enrl-BackSeries'!U33)*100)</f>
        <v>38.337879463591193</v>
      </c>
      <c r="V33" s="45">
        <f>IF('Enrl-BackSeries'!V33-EnrlST!S33&lt;=0,"-",(1-EnrlST!S33/'Enrl-BackSeries'!V33)*100)</f>
        <v>36.742567516453597</v>
      </c>
      <c r="W33" s="45">
        <f>IF('Enrl-BackSeries'!W33-EnrlST!T33&lt;=0,"-",(1-EnrlST!T33/'Enrl-BackSeries'!W33)*100)</f>
        <v>37.55662813836318</v>
      </c>
      <c r="X33" s="45">
        <f>IF('Enrl-BackSeries'!X33-EnrlST!AD33&lt;=0,"-",(1-EnrlST!AD33/'Enrl-BackSeries'!X33)*100)</f>
        <v>62.513394770681515</v>
      </c>
      <c r="Y33" s="45">
        <f>IF('Enrl-BackSeries'!Y33-EnrlST!AE33&lt;=0,"-",(1-EnrlST!AE33/'Enrl-BackSeries'!Y33)*100)</f>
        <v>59.716844500931046</v>
      </c>
      <c r="Z33" s="45">
        <f>IF('Enrl-BackSeries'!Z33-EnrlST!AF33&lt;=0,"-",(1-EnrlST!AF33/'Enrl-BackSeries'!Z33)*100)</f>
        <v>61.183794494175181</v>
      </c>
      <c r="AA33" s="45">
        <f>IF('Enrl-BackSeries'!AA33-EnrlST!AP33&lt;=0,"-",(1-EnrlST!AP33/'Enrl-BackSeries'!AA33)*100)</f>
        <v>73.257310288847961</v>
      </c>
      <c r="AB33" s="45">
        <f>IF('Enrl-BackSeries'!AB33-EnrlST!AQ33&lt;=0,"-",(1-EnrlST!AQ33/'Enrl-BackSeries'!AB33)*100)</f>
        <v>74.36866681490423</v>
      </c>
      <c r="AC33" s="45">
        <f>IF('Enrl-BackSeries'!AC33-EnrlST!AR33&lt;=0,"-",(1-EnrlST!AR33/'Enrl-BackSeries'!AC33)*100)</f>
        <v>73.794285421942547</v>
      </c>
    </row>
    <row r="34" spans="1:29" s="35" customFormat="1" ht="18.75" customHeight="1">
      <c r="A34" s="25">
        <v>29</v>
      </c>
      <c r="B34" s="26" t="s">
        <v>39</v>
      </c>
      <c r="C34" s="45">
        <f>IF('Enrl-BackSeries'!C34-EnrlAll!R34&lt;0,"-",(1-EnrlAll!R34/'Enrl-BackSeries'!C34)*100)</f>
        <v>8.1487558107738565</v>
      </c>
      <c r="D34" s="45">
        <f>IF('Enrl-BackSeries'!D34-EnrlAll!S34&lt;0,"-",(1-EnrlAll!S34/'Enrl-BackSeries'!D34)*100)</f>
        <v>7.2164948453608213</v>
      </c>
      <c r="E34" s="45">
        <f>IF('Enrl-BackSeries'!E34-EnrlAll!T34&lt;0,"-",(1-EnrlAll!T34/'Enrl-BackSeries'!E34)*100)</f>
        <v>7.6933836900265788</v>
      </c>
      <c r="F34" s="45">
        <f>IF('Enrl-BackSeries'!F34-EnrlAll!AD34&lt;0,"-",(1-EnrlAll!AD34/'Enrl-BackSeries'!F34)*100)</f>
        <v>12.185273159144893</v>
      </c>
      <c r="G34" s="45">
        <f>IF('Enrl-BackSeries'!G34-EnrlAll!AE34&lt;0,"-",(1-EnrlAll!AE34/'Enrl-BackSeries'!G34)*100)</f>
        <v>13.502538071065995</v>
      </c>
      <c r="H34" s="45">
        <f>IF('Enrl-BackSeries'!H34-EnrlAll!AF34&lt;0,"-",(1-EnrlAll!AF34/'Enrl-BackSeries'!H34)*100)</f>
        <v>12.822085889570555</v>
      </c>
      <c r="I34" s="45">
        <f>IF('Enrl-BackSeries'!I34-EnrlAll!AP34&lt;0,"-",(1-EnrlAll!AP34/'Enrl-BackSeries'!I34)*100)</f>
        <v>17.525276841598458</v>
      </c>
      <c r="J34" s="45">
        <f>IF('Enrl-BackSeries'!J34-EnrlAll!AQ34&lt;0,"-",(1-EnrlAll!AQ34/'Enrl-BackSeries'!J34)*100)</f>
        <v>21.364092276830494</v>
      </c>
      <c r="K34" s="45">
        <f>IF('Enrl-BackSeries'!K34-EnrlAll!AR34&lt;0,"-",(1-EnrlAll!AR34/'Enrl-BackSeries'!K34)*100)</f>
        <v>19.405551461557359</v>
      </c>
      <c r="L34" s="45" t="str">
        <f>IF('Enrl-BackSeries'!L34-EnrlSC!R34&lt;=0,"-",(1-EnrlSC!R34/'Enrl-BackSeries'!L34)*100)</f>
        <v>-</v>
      </c>
      <c r="M34" s="45" t="str">
        <f>IF('Enrl-BackSeries'!M34-EnrlSC!S34&lt;=0,"-",(1-EnrlSC!S34/'Enrl-BackSeries'!M34)*100)</f>
        <v>-</v>
      </c>
      <c r="N34" s="45" t="str">
        <f>IF('Enrl-BackSeries'!N34-EnrlSC!T34&lt;=0,"-",(1-EnrlSC!T34/'Enrl-BackSeries'!N34)*100)</f>
        <v>-</v>
      </c>
      <c r="O34" s="45" t="str">
        <f>IF('Enrl-BackSeries'!O34-EnrlSC!AD34&lt;=0,"-",(1-EnrlSC!AD34/'Enrl-BackSeries'!O34)*100)</f>
        <v>-</v>
      </c>
      <c r="P34" s="45" t="str">
        <f>IF('Enrl-BackSeries'!P34-EnrlSC!AE34&lt;=0,"-",(1-EnrlSC!AE34/'Enrl-BackSeries'!P34)*100)</f>
        <v>-</v>
      </c>
      <c r="Q34" s="45" t="str">
        <f>IF('Enrl-BackSeries'!Q34-EnrlSC!AF34&lt;=0,"-",(1-EnrlSC!AF34/'Enrl-BackSeries'!Q34)*100)</f>
        <v>-</v>
      </c>
      <c r="R34" s="45" t="str">
        <f>IF('Enrl-BackSeries'!R34-EnrlSC!AP34&lt;=0,"-",(1-EnrlSC!AP34/'Enrl-BackSeries'!R34)*100)</f>
        <v>-</v>
      </c>
      <c r="S34" s="45" t="str">
        <f>IF('Enrl-BackSeries'!S34-EnrlSC!AQ34&lt;=0,"-",(1-EnrlSC!AQ34/'Enrl-BackSeries'!S34)*100)</f>
        <v>-</v>
      </c>
      <c r="T34" s="45" t="str">
        <f>IF('Enrl-BackSeries'!T34-EnrlSC!AR34&lt;=0,"-",(1-EnrlSC!AR34/'Enrl-BackSeries'!T34)*100)</f>
        <v>-</v>
      </c>
      <c r="U34" s="45">
        <f>IF('Enrl-BackSeries'!U34-EnrlST!R34&lt;=0,"-",(1-EnrlST!R34/'Enrl-BackSeries'!U34)*100)</f>
        <v>2.9090909090909056</v>
      </c>
      <c r="V34" s="45" t="str">
        <f>IF('Enrl-BackSeries'!V34-EnrlST!S34&lt;=0,"-",(1-EnrlST!S34/'Enrl-BackSeries'!V34)*100)</f>
        <v>-</v>
      </c>
      <c r="W34" s="45">
        <f>IF('Enrl-BackSeries'!W34-EnrlST!T34&lt;=0,"-",(1-EnrlST!T34/'Enrl-BackSeries'!W34)*100)</f>
        <v>1.1881188118811892</v>
      </c>
      <c r="X34" s="45">
        <f>IF('Enrl-BackSeries'!X34-EnrlST!AD34&lt;=0,"-",(1-EnrlST!AD34/'Enrl-BackSeries'!X34)*100)</f>
        <v>27.225130890052352</v>
      </c>
      <c r="Y34" s="45">
        <f>IF('Enrl-BackSeries'!Y34-EnrlST!AE34&lt;=0,"-",(1-EnrlST!AE34/'Enrl-BackSeries'!Y34)*100)</f>
        <v>31.903485254691688</v>
      </c>
      <c r="Z34" s="45">
        <f>IF('Enrl-BackSeries'!Z34-EnrlST!AF34&lt;=0,"-",(1-EnrlST!AF34/'Enrl-BackSeries'!Z34)*100)</f>
        <v>29.536423841059602</v>
      </c>
      <c r="AA34" s="45">
        <f>IF('Enrl-BackSeries'!AA34-EnrlST!AP34&lt;=0,"-",(1-EnrlST!AP34/'Enrl-BackSeries'!AA34)*100)</f>
        <v>32.345013477088948</v>
      </c>
      <c r="AB34" s="45">
        <f>IF('Enrl-BackSeries'!AB34-EnrlST!AQ34&lt;=0,"-",(1-EnrlST!AQ34/'Enrl-BackSeries'!AB34)*100)</f>
        <v>27.076923076923077</v>
      </c>
      <c r="AC34" s="45">
        <f>IF('Enrl-BackSeries'!AC34-EnrlST!AR34&lt;=0,"-",(1-EnrlST!AR34/'Enrl-BackSeries'!AC34)*100)</f>
        <v>29.885057471264364</v>
      </c>
    </row>
    <row r="35" spans="1:29" s="35" customFormat="1" ht="18.75" customHeight="1">
      <c r="A35" s="25">
        <v>30</v>
      </c>
      <c r="B35" s="26" t="s">
        <v>40</v>
      </c>
      <c r="C35" s="45" t="str">
        <f>IF('Enrl-BackSeries'!C35-EnrlAll!R35&lt;0,"-",(1-EnrlAll!R35/'Enrl-BackSeries'!C35)*100)</f>
        <v>-</v>
      </c>
      <c r="D35" s="45" t="str">
        <f>IF('Enrl-BackSeries'!D35-EnrlAll!S35&lt;0,"-",(1-EnrlAll!S35/'Enrl-BackSeries'!D35)*100)</f>
        <v>-</v>
      </c>
      <c r="E35" s="45" t="str">
        <f>IF('Enrl-BackSeries'!E35-EnrlAll!T35&lt;0,"-",(1-EnrlAll!T35/'Enrl-BackSeries'!E35)*100)</f>
        <v>-</v>
      </c>
      <c r="F35" s="45" t="str">
        <f>IF('Enrl-BackSeries'!F35-EnrlAll!AD35&lt;0,"-",(1-EnrlAll!AD35/'Enrl-BackSeries'!F35)*100)</f>
        <v>-</v>
      </c>
      <c r="G35" s="45" t="str">
        <f>IF('Enrl-BackSeries'!G35-EnrlAll!AE35&lt;0,"-",(1-EnrlAll!AE35/'Enrl-BackSeries'!G35)*100)</f>
        <v>-</v>
      </c>
      <c r="H35" s="45" t="str">
        <f>IF('Enrl-BackSeries'!H35-EnrlAll!AF35&lt;0,"-",(1-EnrlAll!AF35/'Enrl-BackSeries'!H35)*100)</f>
        <v>-</v>
      </c>
      <c r="I35" s="45" t="str">
        <f>IF('Enrl-BackSeries'!I35-EnrlAll!AP35&lt;0,"-",(1-EnrlAll!AP35/'Enrl-BackSeries'!I35)*100)</f>
        <v>-</v>
      </c>
      <c r="J35" s="45" t="str">
        <f>IF('Enrl-BackSeries'!J35-EnrlAll!AQ35&lt;0,"-",(1-EnrlAll!AQ35/'Enrl-BackSeries'!J35)*100)</f>
        <v>-</v>
      </c>
      <c r="K35" s="45" t="str">
        <f>IF('Enrl-BackSeries'!K35-EnrlAll!AR35&lt;0,"-",(1-EnrlAll!AR35/'Enrl-BackSeries'!K35)*100)</f>
        <v>-</v>
      </c>
      <c r="L35" s="45" t="str">
        <f>IF('Enrl-BackSeries'!L35-EnrlSC!R35&lt;=0,"-",(1-EnrlSC!R35/'Enrl-BackSeries'!L35)*100)</f>
        <v>-</v>
      </c>
      <c r="M35" s="45" t="str">
        <f>IF('Enrl-BackSeries'!M35-EnrlSC!S35&lt;=0,"-",(1-EnrlSC!S35/'Enrl-BackSeries'!M35)*100)</f>
        <v>-</v>
      </c>
      <c r="N35" s="45" t="str">
        <f>IF('Enrl-BackSeries'!N35-EnrlSC!T35&lt;=0,"-",(1-EnrlSC!T35/'Enrl-BackSeries'!N35)*100)</f>
        <v>-</v>
      </c>
      <c r="O35" s="45" t="str">
        <f>IF('Enrl-BackSeries'!O35-EnrlSC!AD35&lt;=0,"-",(1-EnrlSC!AD35/'Enrl-BackSeries'!O35)*100)</f>
        <v>-</v>
      </c>
      <c r="P35" s="45" t="str">
        <f>IF('Enrl-BackSeries'!P35-EnrlSC!AE35&lt;=0,"-",(1-EnrlSC!AE35/'Enrl-BackSeries'!P35)*100)</f>
        <v>-</v>
      </c>
      <c r="Q35" s="45" t="str">
        <f>IF('Enrl-BackSeries'!Q35-EnrlSC!AF35&lt;=0,"-",(1-EnrlSC!AF35/'Enrl-BackSeries'!Q35)*100)</f>
        <v>-</v>
      </c>
      <c r="R35" s="45" t="str">
        <f>IF('Enrl-BackSeries'!R35-EnrlSC!AP35&lt;=0,"-",(1-EnrlSC!AP35/'Enrl-BackSeries'!R35)*100)</f>
        <v>-</v>
      </c>
      <c r="S35" s="45" t="str">
        <f>IF('Enrl-BackSeries'!S35-EnrlSC!AQ35&lt;=0,"-",(1-EnrlSC!AQ35/'Enrl-BackSeries'!S35)*100)</f>
        <v>-</v>
      </c>
      <c r="T35" s="45" t="str">
        <f>IF('Enrl-BackSeries'!T35-EnrlSC!AR35&lt;=0,"-",(1-EnrlSC!AR35/'Enrl-BackSeries'!T35)*100)</f>
        <v>-</v>
      </c>
      <c r="U35" s="45" t="str">
        <f>IF('Enrl-BackSeries'!U35-EnrlST!R35&lt;=0,"-",(1-EnrlST!R35/'Enrl-BackSeries'!U35)*100)</f>
        <v>-</v>
      </c>
      <c r="V35" s="45" t="str">
        <f>IF('Enrl-BackSeries'!V35-EnrlST!S35&lt;=0,"-",(1-EnrlST!S35/'Enrl-BackSeries'!V35)*100)</f>
        <v>-</v>
      </c>
      <c r="W35" s="45" t="str">
        <f>IF('Enrl-BackSeries'!W35-EnrlST!T35&lt;=0,"-",(1-EnrlST!T35/'Enrl-BackSeries'!W35)*100)</f>
        <v>-</v>
      </c>
      <c r="X35" s="45" t="str">
        <f>IF('Enrl-BackSeries'!X35-EnrlST!AD35&lt;=0,"-",(1-EnrlST!AD35/'Enrl-BackSeries'!X35)*100)</f>
        <v>-</v>
      </c>
      <c r="Y35" s="45" t="str">
        <f>IF('Enrl-BackSeries'!Y35-EnrlST!AE35&lt;=0,"-",(1-EnrlST!AE35/'Enrl-BackSeries'!Y35)*100)</f>
        <v>-</v>
      </c>
      <c r="Z35" s="45" t="str">
        <f>IF('Enrl-BackSeries'!Z35-EnrlST!AF35&lt;=0,"-",(1-EnrlST!AF35/'Enrl-BackSeries'!Z35)*100)</f>
        <v>-</v>
      </c>
      <c r="AA35" s="45" t="str">
        <f>IF('Enrl-BackSeries'!AA35-EnrlST!AP35&lt;=0,"-",(1-EnrlST!AP35/'Enrl-BackSeries'!AA35)*100)</f>
        <v>-</v>
      </c>
      <c r="AB35" s="45" t="str">
        <f>IF('Enrl-BackSeries'!AB35-EnrlST!AQ35&lt;=0,"-",(1-EnrlST!AQ35/'Enrl-BackSeries'!AB35)*100)</f>
        <v>-</v>
      </c>
      <c r="AC35" s="45" t="str">
        <f>IF('Enrl-BackSeries'!AC35-EnrlST!AR35&lt;=0,"-",(1-EnrlST!AR35/'Enrl-BackSeries'!AC35)*100)</f>
        <v>-</v>
      </c>
    </row>
    <row r="36" spans="1:29" s="35" customFormat="1" ht="18.75" customHeight="1">
      <c r="A36" s="25">
        <v>31</v>
      </c>
      <c r="B36" s="26" t="s">
        <v>41</v>
      </c>
      <c r="C36" s="45">
        <f>IF('Enrl-BackSeries'!C36-EnrlAll!R36&lt;0,"-",(1-EnrlAll!R36/'Enrl-BackSeries'!C36)*100)</f>
        <v>9.7509048328720418</v>
      </c>
      <c r="D36" s="45">
        <f>IF('Enrl-BackSeries'!D36-EnrlAll!S36&lt;0,"-",(1-EnrlAll!S36/'Enrl-BackSeries'!D36)*100)</f>
        <v>18.927935943060504</v>
      </c>
      <c r="E36" s="45">
        <f>IF('Enrl-BackSeries'!E36-EnrlAll!T36&lt;0,"-",(1-EnrlAll!T36/'Enrl-BackSeries'!E36)*100)</f>
        <v>14.239094963559229</v>
      </c>
      <c r="F36" s="45">
        <f>IF('Enrl-BackSeries'!F36-EnrlAll!AD36&lt;0,"-",(1-EnrlAll!AD36/'Enrl-BackSeries'!F36)*100)</f>
        <v>22.625175479644366</v>
      </c>
      <c r="G36" s="45">
        <f>IF('Enrl-BackSeries'!G36-EnrlAll!AE36&lt;0,"-",(1-EnrlAll!AE36/'Enrl-BackSeries'!G36)*100)</f>
        <v>33.465542885473475</v>
      </c>
      <c r="H36" s="45">
        <f>IF('Enrl-BackSeries'!H36-EnrlAll!AF36&lt;0,"-",(1-EnrlAll!AF36/'Enrl-BackSeries'!H36)*100)</f>
        <v>27.888781896966776</v>
      </c>
      <c r="I36" s="45">
        <f>IF('Enrl-BackSeries'!I36-EnrlAll!AP36&lt;0,"-",(1-EnrlAll!AP36/'Enrl-BackSeries'!I36)*100)</f>
        <v>44.270621698496548</v>
      </c>
      <c r="J36" s="45">
        <f>IF('Enrl-BackSeries'!J36-EnrlAll!AQ36&lt;0,"-",(1-EnrlAll!AQ36/'Enrl-BackSeries'!J36)*100)</f>
        <v>59.396462018730489</v>
      </c>
      <c r="K36" s="45">
        <f>IF('Enrl-BackSeries'!K36-EnrlAll!AR36&lt;0,"-",(1-EnrlAll!AR36/'Enrl-BackSeries'!K36)*100)</f>
        <v>51.742572221651074</v>
      </c>
      <c r="L36" s="45" t="str">
        <f>IF('Enrl-BackSeries'!L36-EnrlSC!R36&lt;=0,"-",(1-EnrlSC!R36/'Enrl-BackSeries'!L36)*100)</f>
        <v>-</v>
      </c>
      <c r="M36" s="45" t="str">
        <f>IF('Enrl-BackSeries'!M36-EnrlSC!S36&lt;=0,"-",(1-EnrlSC!S36/'Enrl-BackSeries'!M36)*100)</f>
        <v>-</v>
      </c>
      <c r="N36" s="45" t="str">
        <f>IF('Enrl-BackSeries'!N36-EnrlSC!T36&lt;=0,"-",(1-EnrlSC!T36/'Enrl-BackSeries'!N36)*100)</f>
        <v>-</v>
      </c>
      <c r="O36" s="45">
        <f>IF('Enrl-BackSeries'!O36-EnrlSC!AD36&lt;=0,"-",(1-EnrlSC!AD36/'Enrl-BackSeries'!O36)*100)</f>
        <v>8.8888888888888911</v>
      </c>
      <c r="P36" s="45">
        <f>IF('Enrl-BackSeries'!P36-EnrlSC!AE36&lt;=0,"-",(1-EnrlSC!AE36/'Enrl-BackSeries'!P36)*100)</f>
        <v>22.891566265060238</v>
      </c>
      <c r="Q36" s="45">
        <f>IF('Enrl-BackSeries'!Q36-EnrlSC!AF36&lt;=0,"-",(1-EnrlSC!AF36/'Enrl-BackSeries'!Q36)*100)</f>
        <v>15.606936416184968</v>
      </c>
      <c r="R36" s="45">
        <f>IF('Enrl-BackSeries'!R36-EnrlSC!AP36&lt;=0,"-",(1-EnrlSC!AP36/'Enrl-BackSeries'!R36)*100)</f>
        <v>30.000000000000004</v>
      </c>
      <c r="S36" s="45">
        <f>IF('Enrl-BackSeries'!S36-EnrlSC!AQ36&lt;=0,"-",(1-EnrlSC!AQ36/'Enrl-BackSeries'!S36)*100)</f>
        <v>16.279069767441857</v>
      </c>
      <c r="T36" s="45">
        <f>IF('Enrl-BackSeries'!T36-EnrlSC!AR36&lt;=0,"-",(1-EnrlSC!AR36/'Enrl-BackSeries'!T36)*100)</f>
        <v>23.655913978494624</v>
      </c>
      <c r="U36" s="45">
        <f>IF('Enrl-BackSeries'!U36-EnrlST!R36&lt;=0,"-",(1-EnrlST!R36/'Enrl-BackSeries'!U36)*100)</f>
        <v>1.6622340425531901</v>
      </c>
      <c r="V36" s="45">
        <f>IF('Enrl-BackSeries'!V36-EnrlST!S36&lt;=0,"-",(1-EnrlST!S36/'Enrl-BackSeries'!V36)*100)</f>
        <v>14.733747141457043</v>
      </c>
      <c r="W36" s="45">
        <f>IF('Enrl-BackSeries'!W36-EnrlST!T36&lt;=0,"-",(1-EnrlST!T36/'Enrl-BackSeries'!W36)*100)</f>
        <v>8.2550667325753775</v>
      </c>
      <c r="X36" s="45">
        <f>IF('Enrl-BackSeries'!X36-EnrlST!AD36&lt;=0,"-",(1-EnrlST!AD36/'Enrl-BackSeries'!X36)*100)</f>
        <v>27.176357211692903</v>
      </c>
      <c r="Y36" s="45">
        <f>IF('Enrl-BackSeries'!Y36-EnrlST!AE36&lt;=0,"-",(1-EnrlST!AE36/'Enrl-BackSeries'!Y36)*100)</f>
        <v>39.633147723550607</v>
      </c>
      <c r="Z36" s="45">
        <f>IF('Enrl-BackSeries'!Z36-EnrlST!AF36&lt;=0,"-",(1-EnrlST!AF36/'Enrl-BackSeries'!Z36)*100)</f>
        <v>33.344145313006813</v>
      </c>
      <c r="AA36" s="45">
        <f>IF('Enrl-BackSeries'!AA36-EnrlST!AP36&lt;=0,"-",(1-EnrlST!AP36/'Enrl-BackSeries'!AA36)*100)</f>
        <v>50.985687280583306</v>
      </c>
      <c r="AB36" s="45">
        <f>IF('Enrl-BackSeries'!AB36-EnrlST!AQ36&lt;=0,"-",(1-EnrlST!AQ36/'Enrl-BackSeries'!AB36)*100)</f>
        <v>67.021000777806577</v>
      </c>
      <c r="AC36" s="45">
        <f>IF('Enrl-BackSeries'!AC36-EnrlST!AR36&lt;=0,"-",(1-EnrlST!AR36/'Enrl-BackSeries'!AC36)*100)</f>
        <v>59.166666666666664</v>
      </c>
    </row>
    <row r="37" spans="1:29" s="35" customFormat="1" ht="18.75" customHeight="1">
      <c r="A37" s="25">
        <v>32</v>
      </c>
      <c r="B37" s="26" t="s">
        <v>42</v>
      </c>
      <c r="C37" s="45">
        <f>IF('Enrl-BackSeries'!C37-EnrlAll!R37&lt;0,"-",(1-EnrlAll!R37/'Enrl-BackSeries'!C37)*100)</f>
        <v>2.1978021978022011</v>
      </c>
      <c r="D37" s="45">
        <f>IF('Enrl-BackSeries'!D37-EnrlAll!S37&lt;0,"-",(1-EnrlAll!S37/'Enrl-BackSeries'!D37)*100)</f>
        <v>6.6627007733491954</v>
      </c>
      <c r="E37" s="45">
        <f>IF('Enrl-BackSeries'!E37-EnrlAll!T37&lt;0,"-",(1-EnrlAll!T37/'Enrl-BackSeries'!E37)*100)</f>
        <v>4.2873051224944341</v>
      </c>
      <c r="F37" s="45">
        <f>IF('Enrl-BackSeries'!F37-EnrlAll!AD37&lt;0,"-",(1-EnrlAll!AD37/'Enrl-BackSeries'!F37)*100)</f>
        <v>14.635503617139678</v>
      </c>
      <c r="G37" s="45">
        <f>IF('Enrl-BackSeries'!G37-EnrlAll!AE37&lt;0,"-",(1-EnrlAll!AE37/'Enrl-BackSeries'!G37)*100)</f>
        <v>9.4173441734417338</v>
      </c>
      <c r="H37" s="45">
        <f>IF('Enrl-BackSeries'!H37-EnrlAll!AF37&lt;0,"-",(1-EnrlAll!AF37/'Enrl-BackSeries'!H37)*100)</f>
        <v>12.282309807516045</v>
      </c>
      <c r="I37" s="45">
        <f>IF('Enrl-BackSeries'!I37-EnrlAll!AP37&lt;0,"-",(1-EnrlAll!AP37/'Enrl-BackSeries'!I37)*100)</f>
        <v>26.382978723404261</v>
      </c>
      <c r="J37" s="45">
        <f>IF('Enrl-BackSeries'!J37-EnrlAll!AQ37&lt;0,"-",(1-EnrlAll!AQ37/'Enrl-BackSeries'!J37)*100)</f>
        <v>23.343465045592705</v>
      </c>
      <c r="K37" s="45">
        <f>IF('Enrl-BackSeries'!K37-EnrlAll!AR37&lt;0,"-",(1-EnrlAll!AR37/'Enrl-BackSeries'!K37)*100)</f>
        <v>24.964539007092203</v>
      </c>
      <c r="L37" s="45" t="str">
        <f>IF('Enrl-BackSeries'!L37-EnrlSC!R37&lt;=0,"-",(1-EnrlSC!R37/'Enrl-BackSeries'!L37)*100)</f>
        <v>-</v>
      </c>
      <c r="M37" s="45">
        <f>IF('Enrl-BackSeries'!M37-EnrlSC!S37&lt;=0,"-",(1-EnrlSC!S37/'Enrl-BackSeries'!M37)*100)</f>
        <v>8.0645161290322616</v>
      </c>
      <c r="N37" s="45" t="str">
        <f>IF('Enrl-BackSeries'!N37-EnrlSC!T37&lt;=0,"-",(1-EnrlSC!T37/'Enrl-BackSeries'!N37)*100)</f>
        <v>-</v>
      </c>
      <c r="O37" s="45" t="str">
        <f>IF('Enrl-BackSeries'!O37-EnrlSC!AD37&lt;=0,"-",(1-EnrlSC!AD37/'Enrl-BackSeries'!O37)*100)</f>
        <v>-</v>
      </c>
      <c r="P37" s="45" t="str">
        <f>IF('Enrl-BackSeries'!P37-EnrlSC!AE37&lt;=0,"-",(1-EnrlSC!AE37/'Enrl-BackSeries'!P37)*100)</f>
        <v>-</v>
      </c>
      <c r="Q37" s="45" t="str">
        <f>IF('Enrl-BackSeries'!Q37-EnrlSC!AF37&lt;=0,"-",(1-EnrlSC!AF37/'Enrl-BackSeries'!Q37)*100)</f>
        <v>-</v>
      </c>
      <c r="R37" s="45" t="str">
        <f>IF('Enrl-BackSeries'!R37-EnrlSC!AP37&lt;=0,"-",(1-EnrlSC!AP37/'Enrl-BackSeries'!R37)*100)</f>
        <v>-</v>
      </c>
      <c r="S37" s="45" t="str">
        <f>IF('Enrl-BackSeries'!S37-EnrlSC!AQ37&lt;=0,"-",(1-EnrlSC!AQ37/'Enrl-BackSeries'!S37)*100)</f>
        <v>-</v>
      </c>
      <c r="T37" s="45" t="str">
        <f>IF('Enrl-BackSeries'!T37-EnrlSC!AR37&lt;=0,"-",(1-EnrlSC!AR37/'Enrl-BackSeries'!T37)*100)</f>
        <v>-</v>
      </c>
      <c r="U37" s="45" t="str">
        <f>IF('Enrl-BackSeries'!U37-EnrlST!R37&lt;=0,"-",(1-EnrlST!R37/'Enrl-BackSeries'!U37)*100)</f>
        <v>-</v>
      </c>
      <c r="V37" s="45">
        <f>IF('Enrl-BackSeries'!V37-EnrlST!S37&lt;=0,"-",(1-EnrlST!S37/'Enrl-BackSeries'!V37)*100)</f>
        <v>12.807881773399011</v>
      </c>
      <c r="W37" s="45">
        <f>IF('Enrl-BackSeries'!W37-EnrlST!T37&lt;=0,"-",(1-EnrlST!T37/'Enrl-BackSeries'!W37)*100)</f>
        <v>5.2256532066508266</v>
      </c>
      <c r="X37" s="45">
        <f>IF('Enrl-BackSeries'!X37-EnrlST!AD37&lt;=0,"-",(1-EnrlST!AD37/'Enrl-BackSeries'!X37)*100)</f>
        <v>17.525773195876294</v>
      </c>
      <c r="Y37" s="45">
        <f>IF('Enrl-BackSeries'!Y37-EnrlST!AE37&lt;=0,"-",(1-EnrlST!AE37/'Enrl-BackSeries'!Y37)*100)</f>
        <v>12.643678160919535</v>
      </c>
      <c r="Z37" s="45">
        <f>IF('Enrl-BackSeries'!Z37-EnrlST!AF37&lt;=0,"-",(1-EnrlST!AF37/'Enrl-BackSeries'!Z37)*100)</f>
        <v>15.217391304347828</v>
      </c>
      <c r="AA37" s="45">
        <f>IF('Enrl-BackSeries'!AA37-EnrlST!AP37&lt;=0,"-",(1-EnrlST!AP37/'Enrl-BackSeries'!AA37)*100)</f>
        <v>24.770642201834857</v>
      </c>
      <c r="AB37" s="45">
        <f>IF('Enrl-BackSeries'!AB37-EnrlST!AQ37&lt;=0,"-",(1-EnrlST!AQ37/'Enrl-BackSeries'!AB37)*100)</f>
        <v>24.170616113744082</v>
      </c>
      <c r="AC37" s="45">
        <f>IF('Enrl-BackSeries'!AC37-EnrlST!AR37&lt;=0,"-",(1-EnrlST!AR37/'Enrl-BackSeries'!AC37)*100)</f>
        <v>24.47552447552448</v>
      </c>
    </row>
    <row r="38" spans="1:29" s="35" customFormat="1" ht="18.75" customHeight="1">
      <c r="A38" s="25">
        <v>33</v>
      </c>
      <c r="B38" s="26" t="s">
        <v>43</v>
      </c>
      <c r="C38" s="45" t="str">
        <f>IF('Enrl-BackSeries'!C38-EnrlAll!R38&lt;0,"-",(1-EnrlAll!R38/'Enrl-BackSeries'!C38)*100)</f>
        <v>-</v>
      </c>
      <c r="D38" s="45" t="str">
        <f>IF('Enrl-BackSeries'!D38-EnrlAll!S38&lt;0,"-",(1-EnrlAll!S38/'Enrl-BackSeries'!D38)*100)</f>
        <v>-</v>
      </c>
      <c r="E38" s="45" t="str">
        <f>IF('Enrl-BackSeries'!E38-EnrlAll!T38&lt;0,"-",(1-EnrlAll!T38/'Enrl-BackSeries'!E38)*100)</f>
        <v>-</v>
      </c>
      <c r="F38" s="45" t="str">
        <f>IF('Enrl-BackSeries'!F38-EnrlAll!AD38&lt;0,"-",(1-EnrlAll!AD38/'Enrl-BackSeries'!F38)*100)</f>
        <v>-</v>
      </c>
      <c r="G38" s="45">
        <f>IF('Enrl-BackSeries'!G38-EnrlAll!AE38&lt;0,"-",(1-EnrlAll!AE38/'Enrl-BackSeries'!G38)*100)</f>
        <v>4.4566026740911031</v>
      </c>
      <c r="H38" s="45" t="str">
        <f>IF('Enrl-BackSeries'!H38-EnrlAll!AF38&lt;0,"-",(1-EnrlAll!AF38/'Enrl-BackSeries'!H38)*100)</f>
        <v>-</v>
      </c>
      <c r="I38" s="45" t="str">
        <f>IF('Enrl-BackSeries'!I38-EnrlAll!AP38&lt;0,"-",(1-EnrlAll!AP38/'Enrl-BackSeries'!I38)*100)</f>
        <v>-</v>
      </c>
      <c r="J38" s="45" t="str">
        <f>IF('Enrl-BackSeries'!J38-EnrlAll!AQ38&lt;0,"-",(1-EnrlAll!AQ38/'Enrl-BackSeries'!J38)*100)</f>
        <v>-</v>
      </c>
      <c r="K38" s="45" t="str">
        <f>IF('Enrl-BackSeries'!K38-EnrlAll!AR38&lt;0,"-",(1-EnrlAll!AR38/'Enrl-BackSeries'!K38)*100)</f>
        <v>-</v>
      </c>
      <c r="L38" s="45" t="str">
        <f>IF('Enrl-BackSeries'!L38-EnrlSC!R38&lt;=0,"-",(1-EnrlSC!R38/'Enrl-BackSeries'!L38)*100)</f>
        <v>-</v>
      </c>
      <c r="M38" s="45" t="str">
        <f>IF('Enrl-BackSeries'!M38-EnrlSC!S38&lt;=0,"-",(1-EnrlSC!S38/'Enrl-BackSeries'!M38)*100)</f>
        <v>-</v>
      </c>
      <c r="N38" s="45" t="str">
        <f>IF('Enrl-BackSeries'!N38-EnrlSC!T38&lt;=0,"-",(1-EnrlSC!T38/'Enrl-BackSeries'!N38)*100)</f>
        <v>-</v>
      </c>
      <c r="O38" s="45">
        <f>IF('Enrl-BackSeries'!O38-EnrlSC!AD38&lt;=0,"-",(1-EnrlSC!AD38/'Enrl-BackSeries'!O38)*100)</f>
        <v>25.092268161644469</v>
      </c>
      <c r="P38" s="45">
        <f>IF('Enrl-BackSeries'!P38-EnrlSC!AE38&lt;=0,"-",(1-EnrlSC!AE38/'Enrl-BackSeries'!P38)*100)</f>
        <v>13.487392689379618</v>
      </c>
      <c r="Q38" s="45">
        <f>IF('Enrl-BackSeries'!Q38-EnrlSC!AF38&lt;=0,"-",(1-EnrlSC!AF38/'Enrl-BackSeries'!Q38)*100)</f>
        <v>19.708961578921002</v>
      </c>
      <c r="R38" s="45" t="str">
        <f>IF('Enrl-BackSeries'!R38-EnrlSC!AP38&lt;=0,"-",(1-EnrlSC!AP38/'Enrl-BackSeries'!R38)*100)</f>
        <v>-</v>
      </c>
      <c r="S38" s="45" t="str">
        <f>IF('Enrl-BackSeries'!S38-EnrlSC!AQ38&lt;=0,"-",(1-EnrlSC!AQ38/'Enrl-BackSeries'!S38)*100)</f>
        <v>-</v>
      </c>
      <c r="T38" s="45" t="str">
        <f>IF('Enrl-BackSeries'!T38-EnrlSC!AR38&lt;=0,"-",(1-EnrlSC!AR38/'Enrl-BackSeries'!T38)*100)</f>
        <v>-</v>
      </c>
      <c r="U38" s="45">
        <f>IF('Enrl-BackSeries'!U38-EnrlST!R38&lt;=0,"-",(1-EnrlST!R38/'Enrl-BackSeries'!U38)*100)</f>
        <v>11.790393013100442</v>
      </c>
      <c r="V38" s="45">
        <f>IF('Enrl-BackSeries'!V38-EnrlST!S38&lt;=0,"-",(1-EnrlST!S38/'Enrl-BackSeries'!V38)*100)</f>
        <v>27.31707317073171</v>
      </c>
      <c r="W38" s="45">
        <f>IF('Enrl-BackSeries'!W38-EnrlST!T38&lt;=0,"-",(1-EnrlST!T38/'Enrl-BackSeries'!W38)*100)</f>
        <v>19.124423963133641</v>
      </c>
      <c r="X38" s="45">
        <f>IF('Enrl-BackSeries'!X38-EnrlST!AD38&lt;=0,"-",(1-EnrlST!AD38/'Enrl-BackSeries'!X38)*100)</f>
        <v>4.7919293820933184</v>
      </c>
      <c r="Y38" s="45" t="str">
        <f>IF('Enrl-BackSeries'!Y38-EnrlST!AE38&lt;=0,"-",(1-EnrlST!AE38/'Enrl-BackSeries'!Y38)*100)</f>
        <v>-</v>
      </c>
      <c r="Z38" s="45">
        <f>IF('Enrl-BackSeries'!Z38-EnrlST!AF38&lt;=0,"-",(1-EnrlST!AF38/'Enrl-BackSeries'!Z38)*100)</f>
        <v>1.132075471698113</v>
      </c>
      <c r="AA38" s="45">
        <f>IF('Enrl-BackSeries'!AA38-EnrlST!AP38&lt;=0,"-",(1-EnrlST!AP38/'Enrl-BackSeries'!AA38)*100)</f>
        <v>17.771883289124666</v>
      </c>
      <c r="AB38" s="45">
        <f>IF('Enrl-BackSeries'!AB38-EnrlST!AQ38&lt;=0,"-",(1-EnrlST!AQ38/'Enrl-BackSeries'!AB38)*100)</f>
        <v>42.575285565939765</v>
      </c>
      <c r="AC38" s="45">
        <f>IF('Enrl-BackSeries'!AC38-EnrlST!AR38&lt;=0,"-",(1-EnrlST!AR38/'Enrl-BackSeries'!AC38)*100)</f>
        <v>31.683168316831679</v>
      </c>
    </row>
    <row r="39" spans="1:29" s="35" customFormat="1" ht="18.75" customHeight="1">
      <c r="A39" s="25">
        <v>34</v>
      </c>
      <c r="B39" s="26" t="s">
        <v>44</v>
      </c>
      <c r="C39" s="45">
        <f>IF('Enrl-BackSeries'!C39-EnrlAll!R39&lt;0,"-",(1-EnrlAll!R39/'Enrl-BackSeries'!C39)*100)</f>
        <v>15.279672578444748</v>
      </c>
      <c r="D39" s="45">
        <f>IF('Enrl-BackSeries'!D39-EnrlAll!S39&lt;0,"-",(1-EnrlAll!S39/'Enrl-BackSeries'!D39)*100)</f>
        <v>10.518518518518515</v>
      </c>
      <c r="E39" s="45">
        <f>IF('Enrl-BackSeries'!E39-EnrlAll!T39&lt;0,"-",(1-EnrlAll!T39/'Enrl-BackSeries'!E39)*100)</f>
        <v>12.997159090909093</v>
      </c>
      <c r="F39" s="45">
        <f>IF('Enrl-BackSeries'!F39-EnrlAll!AD39&lt;0,"-",(1-EnrlAll!AD39/'Enrl-BackSeries'!F39)*100)</f>
        <v>27.104136947218262</v>
      </c>
      <c r="G39" s="45">
        <f>IF('Enrl-BackSeries'!G39-EnrlAll!AE39&lt;0,"-",(1-EnrlAll!AE39/'Enrl-BackSeries'!G39)*100)</f>
        <v>4.8744460856720799</v>
      </c>
      <c r="H39" s="45">
        <f>IF('Enrl-BackSeries'!H39-EnrlAll!AF39&lt;0,"-",(1-EnrlAll!AF39/'Enrl-BackSeries'!H39)*100)</f>
        <v>16.182873730043546</v>
      </c>
      <c r="I39" s="45">
        <f>IF('Enrl-BackSeries'!I39-EnrlAll!AP39&lt;0,"-",(1-EnrlAll!AP39/'Enrl-BackSeries'!I39)*100)</f>
        <v>7.5931232091690504</v>
      </c>
      <c r="J39" s="45">
        <f>IF('Enrl-BackSeries'!J39-EnrlAll!AQ39&lt;0,"-",(1-EnrlAll!AQ39/'Enrl-BackSeries'!J39)*100)</f>
        <v>4.6712802768166135</v>
      </c>
      <c r="K39" s="45">
        <f>IF('Enrl-BackSeries'!K39-EnrlAll!AR39&lt;0,"-",(1-EnrlAll!AR39/'Enrl-BackSeries'!K39)*100)</f>
        <v>6.2695924764890272</v>
      </c>
      <c r="L39" s="45" t="str">
        <f>IF('Enrl-BackSeries'!L39-EnrlSC!R39&lt;=0,"-",(1-EnrlSC!R39/'Enrl-BackSeries'!L39)*100)</f>
        <v>-</v>
      </c>
      <c r="M39" s="45" t="str">
        <f>IF('Enrl-BackSeries'!M39-EnrlSC!S39&lt;=0,"-",(1-EnrlSC!S39/'Enrl-BackSeries'!M39)*100)</f>
        <v>-</v>
      </c>
      <c r="N39" s="45" t="str">
        <f>IF('Enrl-BackSeries'!N39-EnrlSC!T39&lt;=0,"-",(1-EnrlSC!T39/'Enrl-BackSeries'!N39)*100)</f>
        <v>-</v>
      </c>
      <c r="O39" s="45" t="str">
        <f>IF('Enrl-BackSeries'!O39-EnrlSC!AD39&lt;=0,"-",(1-EnrlSC!AD39/'Enrl-BackSeries'!O39)*100)</f>
        <v>-</v>
      </c>
      <c r="P39" s="45" t="str">
        <f>IF('Enrl-BackSeries'!P39-EnrlSC!AE39&lt;=0,"-",(1-EnrlSC!AE39/'Enrl-BackSeries'!P39)*100)</f>
        <v>-</v>
      </c>
      <c r="Q39" s="45" t="str">
        <f>IF('Enrl-BackSeries'!Q39-EnrlSC!AF39&lt;=0,"-",(1-EnrlSC!AF39/'Enrl-BackSeries'!Q39)*100)</f>
        <v>-</v>
      </c>
      <c r="R39" s="45">
        <f>IF('Enrl-BackSeries'!R39-EnrlSC!AP39&lt;=0,"-",(1-EnrlSC!AP39/'Enrl-BackSeries'!R39)*100)</f>
        <v>100</v>
      </c>
      <c r="S39" s="45" t="str">
        <f>IF('Enrl-BackSeries'!S39-EnrlSC!AQ39&lt;=0,"-",(1-EnrlSC!AQ39/'Enrl-BackSeries'!S39)*100)</f>
        <v>-</v>
      </c>
      <c r="T39" s="45">
        <f>IF('Enrl-BackSeries'!T39-EnrlSC!AR39&lt;=0,"-",(1-EnrlSC!AR39/'Enrl-BackSeries'!T39)*100)</f>
        <v>100</v>
      </c>
      <c r="U39" s="45">
        <f>IF('Enrl-BackSeries'!U39-EnrlST!R39&lt;=0,"-",(1-EnrlST!R39/'Enrl-BackSeries'!U39)*100)</f>
        <v>15.279672578444748</v>
      </c>
      <c r="V39" s="45">
        <f>IF('Enrl-BackSeries'!V39-EnrlST!S39&lt;=0,"-",(1-EnrlST!S39/'Enrl-BackSeries'!V39)*100)</f>
        <v>10.518518518518515</v>
      </c>
      <c r="W39" s="45">
        <f>IF('Enrl-BackSeries'!W39-EnrlST!T39&lt;=0,"-",(1-EnrlST!T39/'Enrl-BackSeries'!W39)*100)</f>
        <v>12.997159090909093</v>
      </c>
      <c r="X39" s="45">
        <f>IF('Enrl-BackSeries'!X39-EnrlST!AD39&lt;=0,"-",(1-EnrlST!AD39/'Enrl-BackSeries'!X39)*100)</f>
        <v>26.895565092989983</v>
      </c>
      <c r="Y39" s="45">
        <f>IF('Enrl-BackSeries'!Y39-EnrlST!AE39&lt;=0,"-",(1-EnrlST!AE39/'Enrl-BackSeries'!Y39)*100)</f>
        <v>4.1666666666666625</v>
      </c>
      <c r="Z39" s="45">
        <f>IF('Enrl-BackSeries'!Z39-EnrlST!AF39&lt;=0,"-",(1-EnrlST!AF39/'Enrl-BackSeries'!Z39)*100)</f>
        <v>15.754923413566734</v>
      </c>
      <c r="AA39" s="45">
        <f>IF('Enrl-BackSeries'!AA39-EnrlST!AP39&lt;=0,"-",(1-EnrlST!AP39/'Enrl-BackSeries'!AA39)*100)</f>
        <v>6.9264069264069246</v>
      </c>
      <c r="AB39" s="45">
        <f>IF('Enrl-BackSeries'!AB39-EnrlST!AQ39&lt;=0,"-",(1-EnrlST!AQ39/'Enrl-BackSeries'!AB39)*100)</f>
        <v>4.506065857885611</v>
      </c>
      <c r="AC39" s="45">
        <f>IF('Enrl-BackSeries'!AC39-EnrlST!AR39&lt;=0,"-",(1-EnrlST!AR39/'Enrl-BackSeries'!AC39)*100)</f>
        <v>5.8267716535433056</v>
      </c>
    </row>
    <row r="40" spans="1:29" s="35" customFormat="1" ht="18.75" customHeight="1">
      <c r="A40" s="25">
        <v>35</v>
      </c>
      <c r="B40" s="26" t="s">
        <v>45</v>
      </c>
      <c r="C40" s="45">
        <f>IF('Enrl-BackSeries'!C40-EnrlAll!R40&lt;0,"-",(1-EnrlAll!R40/'Enrl-BackSeries'!C40)*100)</f>
        <v>0.49918237369824814</v>
      </c>
      <c r="D40" s="45" t="str">
        <f>IF('Enrl-BackSeries'!D40-EnrlAll!S40&lt;0,"-",(1-EnrlAll!S40/'Enrl-BackSeries'!D40)*100)</f>
        <v>-</v>
      </c>
      <c r="E40" s="45" t="str">
        <f>IF('Enrl-BackSeries'!E40-EnrlAll!T40&lt;0,"-",(1-EnrlAll!T40/'Enrl-BackSeries'!E40)*100)</f>
        <v>-</v>
      </c>
      <c r="F40" s="45" t="str">
        <f>IF('Enrl-BackSeries'!F40-EnrlAll!AD40&lt;0,"-",(1-EnrlAll!AD40/'Enrl-BackSeries'!F40)*100)</f>
        <v>-</v>
      </c>
      <c r="G40" s="45" t="str">
        <f>IF('Enrl-BackSeries'!G40-EnrlAll!AE40&lt;0,"-",(1-EnrlAll!AE40/'Enrl-BackSeries'!G40)*100)</f>
        <v>-</v>
      </c>
      <c r="H40" s="45" t="str">
        <f>IF('Enrl-BackSeries'!H40-EnrlAll!AF40&lt;0,"-",(1-EnrlAll!AF40/'Enrl-BackSeries'!H40)*100)</f>
        <v>-</v>
      </c>
      <c r="I40" s="45">
        <f>IF('Enrl-BackSeries'!I40-EnrlAll!AP40&lt;0,"-",(1-EnrlAll!AP40/'Enrl-BackSeries'!I40)*100)</f>
        <v>1.0713937859160416</v>
      </c>
      <c r="J40" s="45" t="str">
        <f>IF('Enrl-BackSeries'!J40-EnrlAll!AQ40&lt;0,"-",(1-EnrlAll!AQ40/'Enrl-BackSeries'!J40)*100)</f>
        <v>-</v>
      </c>
      <c r="K40" s="45" t="str">
        <f>IF('Enrl-BackSeries'!K40-EnrlAll!AR40&lt;0,"-",(1-EnrlAll!AR40/'Enrl-BackSeries'!K40)*100)</f>
        <v>-</v>
      </c>
      <c r="L40" s="45" t="str">
        <f>IF('Enrl-BackSeries'!L40-EnrlSC!R40&lt;=0,"-",(1-EnrlSC!R40/'Enrl-BackSeries'!L40)*100)</f>
        <v>-</v>
      </c>
      <c r="M40" s="45" t="str">
        <f>IF('Enrl-BackSeries'!M40-EnrlSC!S40&lt;=0,"-",(1-EnrlSC!S40/'Enrl-BackSeries'!M40)*100)</f>
        <v>-</v>
      </c>
      <c r="N40" s="45" t="str">
        <f>IF('Enrl-BackSeries'!N40-EnrlSC!T40&lt;=0,"-",(1-EnrlSC!T40/'Enrl-BackSeries'!N40)*100)</f>
        <v>-</v>
      </c>
      <c r="O40" s="45" t="str">
        <f>IF('Enrl-BackSeries'!O40-EnrlSC!AD40&lt;=0,"-",(1-EnrlSC!AD40/'Enrl-BackSeries'!O40)*100)</f>
        <v>-</v>
      </c>
      <c r="P40" s="45" t="str">
        <f>IF('Enrl-BackSeries'!P40-EnrlSC!AE40&lt;=0,"-",(1-EnrlSC!AE40/'Enrl-BackSeries'!P40)*100)</f>
        <v>-</v>
      </c>
      <c r="Q40" s="45" t="str">
        <f>IF('Enrl-BackSeries'!Q40-EnrlSC!AF40&lt;=0,"-",(1-EnrlSC!AF40/'Enrl-BackSeries'!Q40)*100)</f>
        <v>-</v>
      </c>
      <c r="R40" s="45" t="str">
        <f>IF('Enrl-BackSeries'!R40-EnrlSC!AP40&lt;=0,"-",(1-EnrlSC!AP40/'Enrl-BackSeries'!R40)*100)</f>
        <v>-</v>
      </c>
      <c r="S40" s="45" t="str">
        <f>IF('Enrl-BackSeries'!S40-EnrlSC!AQ40&lt;=0,"-",(1-EnrlSC!AQ40/'Enrl-BackSeries'!S40)*100)</f>
        <v>-</v>
      </c>
      <c r="T40" s="45" t="str">
        <f>IF('Enrl-BackSeries'!T40-EnrlSC!AR40&lt;=0,"-",(1-EnrlSC!AR40/'Enrl-BackSeries'!T40)*100)</f>
        <v>-</v>
      </c>
      <c r="U40" s="45" t="str">
        <f>IF('Enrl-BackSeries'!U40-EnrlST!R40&lt;=0,"-",(1-EnrlST!R40/'Enrl-BackSeries'!U40)*100)</f>
        <v>-</v>
      </c>
      <c r="V40" s="45" t="str">
        <f>IF('Enrl-BackSeries'!V40-EnrlST!S40&lt;=0,"-",(1-EnrlST!S40/'Enrl-BackSeries'!V40)*100)</f>
        <v>-</v>
      </c>
      <c r="W40" s="45" t="str">
        <f>IF('Enrl-BackSeries'!W40-EnrlST!T40&lt;=0,"-",(1-EnrlST!T40/'Enrl-BackSeries'!W40)*100)</f>
        <v>-</v>
      </c>
      <c r="X40" s="45" t="str">
        <f>IF('Enrl-BackSeries'!X40-EnrlST!AD40&lt;=0,"-",(1-EnrlST!AD40/'Enrl-BackSeries'!X40)*100)</f>
        <v>-</v>
      </c>
      <c r="Y40" s="45" t="str">
        <f>IF('Enrl-BackSeries'!Y40-EnrlST!AE40&lt;=0,"-",(1-EnrlST!AE40/'Enrl-BackSeries'!Y40)*100)</f>
        <v>-</v>
      </c>
      <c r="Z40" s="45" t="str">
        <f>IF('Enrl-BackSeries'!Z40-EnrlST!AF40&lt;=0,"-",(1-EnrlST!AF40/'Enrl-BackSeries'!Z40)*100)</f>
        <v>-</v>
      </c>
      <c r="AA40" s="45" t="str">
        <f>IF('Enrl-BackSeries'!AA40-EnrlST!AP40&lt;=0,"-",(1-EnrlST!AP40/'Enrl-BackSeries'!AA40)*100)</f>
        <v>-</v>
      </c>
      <c r="AB40" s="45" t="str">
        <f>IF('Enrl-BackSeries'!AB40-EnrlST!AQ40&lt;=0,"-",(1-EnrlST!AQ40/'Enrl-BackSeries'!AB40)*100)</f>
        <v>-</v>
      </c>
      <c r="AC40" s="45" t="str">
        <f>IF('Enrl-BackSeries'!AC40-EnrlST!AR40&lt;=0,"-",(1-EnrlST!AR40/'Enrl-BackSeries'!AC40)*100)</f>
        <v>-</v>
      </c>
    </row>
    <row r="41" spans="1:29" s="87" customFormat="1" ht="18" customHeight="1">
      <c r="A41" s="286" t="s">
        <v>46</v>
      </c>
      <c r="B41" s="286"/>
      <c r="C41" s="86">
        <f>IF('Enrl-BackSeries'!C41-EnrlAll!R41&lt;0,"-",(1-EnrlAll!R41/'Enrl-BackSeries'!C41)*100)</f>
        <v>23.415444682151232</v>
      </c>
      <c r="D41" s="86">
        <f>IF('Enrl-BackSeries'!D41-EnrlAll!S41&lt;0,"-",(1-EnrlAll!S41/'Enrl-BackSeries'!D41)*100)</f>
        <v>20.954573849994507</v>
      </c>
      <c r="E41" s="86">
        <f>IF('Enrl-BackSeries'!E41-EnrlAll!T41&lt;0,"-",(1-EnrlAll!T41/'Enrl-BackSeries'!E41)*100)</f>
        <v>22.261134222197597</v>
      </c>
      <c r="F41" s="86">
        <f>IF('Enrl-BackSeries'!F41-EnrlAll!AD41&lt;0,"-",(1-EnrlAll!AD41/'Enrl-BackSeries'!F41)*100)</f>
        <v>41.453043986003856</v>
      </c>
      <c r="G41" s="86">
        <f>IF('Enrl-BackSeries'!G41-EnrlAll!AE41&lt;0,"-",(1-EnrlAll!AE41/'Enrl-BackSeries'!G41)*100)</f>
        <v>40.030654672249689</v>
      </c>
      <c r="H41" s="86">
        <f>IF('Enrl-BackSeries'!H41-EnrlAll!AF41&lt;0,"-",(1-EnrlAll!AF41/'Enrl-BackSeries'!H41)*100)</f>
        <v>40.793063072437278</v>
      </c>
      <c r="I41" s="86">
        <f>IF('Enrl-BackSeries'!I41-EnrlAll!AP41&lt;0,"-",(1-EnrlAll!AP41/'Enrl-BackSeries'!I41)*100)</f>
        <v>48.635977195512645</v>
      </c>
      <c r="J41" s="86">
        <f>IF('Enrl-BackSeries'!J41-EnrlAll!AQ41&lt;0,"-",(1-EnrlAll!AQ41/'Enrl-BackSeries'!J41)*100)</f>
        <v>52.161239540287404</v>
      </c>
      <c r="K41" s="86">
        <f>IF('Enrl-BackSeries'!K41-EnrlAll!AR41&lt;0,"-",(1-EnrlAll!AR41/'Enrl-BackSeries'!K41)*100)</f>
        <v>50.308769535922295</v>
      </c>
      <c r="L41" s="86">
        <f>IF('Enrl-BackSeries'!L41-EnrlSC!R41&lt;=0,"-",(1-EnrlSC!R41/'Enrl-BackSeries'!L41)*100)</f>
        <v>22.265342901952213</v>
      </c>
      <c r="M41" s="86">
        <f>IF('Enrl-BackSeries'!M41-EnrlSC!S41&lt;=0,"-",(1-EnrlSC!S41/'Enrl-BackSeries'!M41)*100)</f>
        <v>24.717883925561036</v>
      </c>
      <c r="N41" s="86">
        <f>IF('Enrl-BackSeries'!N41-EnrlSC!T41&lt;=0,"-",(1-EnrlSC!T41/'Enrl-BackSeries'!N41)*100)</f>
        <v>23.470095496738196</v>
      </c>
      <c r="O41" s="86">
        <f>IF('Enrl-BackSeries'!O41-EnrlSC!AD41&lt;=0,"-",(1-EnrlSC!AD41/'Enrl-BackSeries'!O41)*100)</f>
        <v>43.34401852163441</v>
      </c>
      <c r="P41" s="86">
        <f>IF('Enrl-BackSeries'!P41-EnrlSC!AE41&lt;=0,"-",(1-EnrlSC!AE41/'Enrl-BackSeries'!P41)*100)</f>
        <v>36.403928926474208</v>
      </c>
      <c r="Q41" s="86">
        <f>IF('Enrl-BackSeries'!Q41-EnrlSC!AF41&lt;=0,"-",(1-EnrlSC!AF41/'Enrl-BackSeries'!Q41)*100)</f>
        <v>40.196927254679679</v>
      </c>
      <c r="R41" s="86">
        <f>IF('Enrl-BackSeries'!R41-EnrlSC!AP41&lt;=0,"-",(1-EnrlSC!AP41/'Enrl-BackSeries'!R41)*100)</f>
        <v>55.048690582431348</v>
      </c>
      <c r="S41" s="86">
        <f>IF('Enrl-BackSeries'!S41-EnrlSC!AQ41&lt;=0,"-",(1-EnrlSC!AQ41/'Enrl-BackSeries'!S41)*100)</f>
        <v>55.604640070411079</v>
      </c>
      <c r="T41" s="86">
        <f>IF('Enrl-BackSeries'!T41-EnrlSC!AR41&lt;=0,"-",(1-EnrlSC!AR41/'Enrl-BackSeries'!T41)*100)</f>
        <v>55.311922755577591</v>
      </c>
      <c r="U41" s="86">
        <f>IF('Enrl-BackSeries'!U41-EnrlST!R41&lt;=0,"-",(1-EnrlST!R41/'Enrl-BackSeries'!U41)*100)</f>
        <v>36.113100786925692</v>
      </c>
      <c r="V41" s="86">
        <f>IF('Enrl-BackSeries'!V41-EnrlST!S41&lt;=0,"-",(1-EnrlST!S41/'Enrl-BackSeries'!V41)*100)</f>
        <v>34.42238041713501</v>
      </c>
      <c r="W41" s="86">
        <f>IF('Enrl-BackSeries'!W41-EnrlST!T41&lt;=0,"-",(1-EnrlST!T41/'Enrl-BackSeries'!W41)*100)</f>
        <v>35.299495776656379</v>
      </c>
      <c r="X41" s="86">
        <f>IF('Enrl-BackSeries'!X41-EnrlST!AD41&lt;=0,"-",(1-EnrlST!AD41/'Enrl-BackSeries'!X41)*100)</f>
        <v>57.349714498202275</v>
      </c>
      <c r="Y41" s="86">
        <f>IF('Enrl-BackSeries'!Y41-EnrlST!AE41&lt;=0,"-",(1-EnrlST!AE41/'Enrl-BackSeries'!Y41)*100)</f>
        <v>57.120539394383485</v>
      </c>
      <c r="Z41" s="86">
        <f>IF('Enrl-BackSeries'!Z41-EnrlST!AF41&lt;=0,"-",(1-EnrlST!AF41/'Enrl-BackSeries'!Z41)*100)</f>
        <v>57.242119244526826</v>
      </c>
      <c r="AA41" s="86">
        <f>IF('Enrl-BackSeries'!AA41-EnrlST!AP41&lt;=0,"-",(1-EnrlST!AP41/'Enrl-BackSeries'!AA41)*100)</f>
        <v>64.432753783700903</v>
      </c>
      <c r="AB41" s="86">
        <f>IF('Enrl-BackSeries'!AB41-EnrlST!AQ41&lt;=0,"-",(1-EnrlST!AQ41/'Enrl-BackSeries'!AB41)*100)</f>
        <v>67.600622955925871</v>
      </c>
      <c r="AC41" s="86">
        <f>IF('Enrl-BackSeries'!AC41-EnrlST!AR41&lt;=0,"-",(1-EnrlST!AR41/'Enrl-BackSeries'!AC41)*100)</f>
        <v>65.949248406184523</v>
      </c>
    </row>
    <row r="42" spans="1:29" s="270" customFormat="1" ht="15.75" customHeight="1"/>
    <row r="43" spans="1:29" s="270" customFormat="1"/>
    <row r="44" spans="1:29" s="270" customFormat="1">
      <c r="C44" s="270" t="s">
        <v>207</v>
      </c>
      <c r="D44" s="271" t="s">
        <v>13</v>
      </c>
      <c r="E44" s="271" t="s">
        <v>14</v>
      </c>
      <c r="F44" s="271" t="s">
        <v>15</v>
      </c>
      <c r="G44" s="272" t="s">
        <v>206</v>
      </c>
      <c r="H44" s="272" t="s">
        <v>208</v>
      </c>
    </row>
    <row r="45" spans="1:29" s="270" customFormat="1" ht="31.5">
      <c r="C45" s="273" t="s">
        <v>97</v>
      </c>
      <c r="D45" s="274">
        <f>C41</f>
        <v>23.415444682151232</v>
      </c>
      <c r="E45" s="274">
        <f t="shared" ref="E45:F45" si="0">D41</f>
        <v>20.954573849994507</v>
      </c>
      <c r="F45" s="274">
        <f t="shared" si="0"/>
        <v>22.261134222197597</v>
      </c>
      <c r="G45" s="274">
        <f>N41</f>
        <v>23.470095496738196</v>
      </c>
      <c r="H45" s="274">
        <f>W41</f>
        <v>35.299495776656379</v>
      </c>
    </row>
    <row r="46" spans="1:29" s="270" customFormat="1" ht="47.25">
      <c r="C46" s="273" t="s">
        <v>98</v>
      </c>
      <c r="D46" s="274">
        <f>F41</f>
        <v>41.453043986003856</v>
      </c>
      <c r="E46" s="274">
        <f t="shared" ref="E46:F46" si="1">G41</f>
        <v>40.030654672249689</v>
      </c>
      <c r="F46" s="274">
        <f t="shared" si="1"/>
        <v>40.793063072437278</v>
      </c>
      <c r="G46" s="274">
        <f>Q41</f>
        <v>40.196927254679679</v>
      </c>
      <c r="H46" s="274">
        <f>Z41</f>
        <v>57.242119244526826</v>
      </c>
    </row>
    <row r="47" spans="1:29" s="270" customFormat="1" ht="31.5">
      <c r="C47" s="275" t="s">
        <v>99</v>
      </c>
      <c r="D47" s="274">
        <f>I41</f>
        <v>48.635977195512645</v>
      </c>
      <c r="E47" s="274">
        <f t="shared" ref="E47:F47" si="2">J41</f>
        <v>52.161239540287404</v>
      </c>
      <c r="F47" s="274">
        <f t="shared" si="2"/>
        <v>50.308769535922295</v>
      </c>
      <c r="G47" s="274">
        <f>T41</f>
        <v>55.311922755577591</v>
      </c>
      <c r="H47" s="274">
        <f>AC41</f>
        <v>65.949248406184523</v>
      </c>
    </row>
    <row r="48" spans="1:29" s="270" customFormat="1"/>
    <row r="49" s="270" customFormat="1"/>
    <row r="50" s="270" customFormat="1"/>
    <row r="51" s="270" customFormat="1"/>
    <row r="52" s="270" customFormat="1"/>
    <row r="53" s="270" customFormat="1"/>
    <row r="54" s="270" customFormat="1"/>
    <row r="55" s="270" customFormat="1"/>
    <row r="56" s="270" customFormat="1"/>
    <row r="57" s="270" customFormat="1"/>
    <row r="58" s="270" customFormat="1"/>
    <row r="59" s="270" customFormat="1"/>
    <row r="60" s="270" customFormat="1"/>
  </sheetData>
  <mergeCells count="12">
    <mergeCell ref="X3:Z3"/>
    <mergeCell ref="AA3:AC3"/>
    <mergeCell ref="I3:K3"/>
    <mergeCell ref="L3:N3"/>
    <mergeCell ref="O3:Q3"/>
    <mergeCell ref="R3:T3"/>
    <mergeCell ref="A41:B41"/>
    <mergeCell ref="U3:W3"/>
    <mergeCell ref="A3:A4"/>
    <mergeCell ref="B3:B4"/>
    <mergeCell ref="C3:E3"/>
    <mergeCell ref="F3:H3"/>
  </mergeCells>
  <printOptions horizontalCentered="1"/>
  <pageMargins left="0.2" right="0.22" top="0.44" bottom="0.59" header="0.2" footer="0.33"/>
  <pageSetup paperSize="9" scale="98" firstPageNumber="66" orientation="portrait" useFirstPageNumber="1" r:id="rId1"/>
  <headerFooter alignWithMargins="0">
    <oddFooter>&amp;LSTATISTICS OF SCHOOL EDUCATION 2011-12&amp;R&amp;P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46"/>
  <sheetViews>
    <sheetView view="pageBreakPreview" topLeftCell="A34" zoomScaleSheetLayoutView="100" workbookViewId="0">
      <selection activeCell="M32" sqref="M32"/>
    </sheetView>
  </sheetViews>
  <sheetFormatPr defaultRowHeight="19.5" customHeight="1"/>
  <cols>
    <col min="1" max="1" width="4.5703125" style="100" customWidth="1"/>
    <col min="2" max="2" width="20" style="100" customWidth="1"/>
    <col min="3" max="4" width="11.85546875" style="100" customWidth="1"/>
    <col min="5" max="5" width="12.7109375" style="100" customWidth="1"/>
    <col min="6" max="14" width="11.85546875" style="100" customWidth="1"/>
    <col min="15" max="256" width="9.140625" style="100"/>
    <col min="257" max="257" width="4.5703125" style="100" customWidth="1"/>
    <col min="258" max="258" width="20" style="100" customWidth="1"/>
    <col min="259" max="260" width="11.85546875" style="100" customWidth="1"/>
    <col min="261" max="261" width="12.7109375" style="100" customWidth="1"/>
    <col min="262" max="270" width="11.85546875" style="100" customWidth="1"/>
    <col min="271" max="512" width="9.140625" style="100"/>
    <col min="513" max="513" width="4.5703125" style="100" customWidth="1"/>
    <col min="514" max="514" width="20" style="100" customWidth="1"/>
    <col min="515" max="516" width="11.85546875" style="100" customWidth="1"/>
    <col min="517" max="517" width="12.7109375" style="100" customWidth="1"/>
    <col min="518" max="526" width="11.85546875" style="100" customWidth="1"/>
    <col min="527" max="768" width="9.140625" style="100"/>
    <col min="769" max="769" width="4.5703125" style="100" customWidth="1"/>
    <col min="770" max="770" width="20" style="100" customWidth="1"/>
    <col min="771" max="772" width="11.85546875" style="100" customWidth="1"/>
    <col min="773" max="773" width="12.7109375" style="100" customWidth="1"/>
    <col min="774" max="782" width="11.85546875" style="100" customWidth="1"/>
    <col min="783" max="1024" width="9.140625" style="100"/>
    <col min="1025" max="1025" width="4.5703125" style="100" customWidth="1"/>
    <col min="1026" max="1026" width="20" style="100" customWidth="1"/>
    <col min="1027" max="1028" width="11.85546875" style="100" customWidth="1"/>
    <col min="1029" max="1029" width="12.7109375" style="100" customWidth="1"/>
    <col min="1030" max="1038" width="11.85546875" style="100" customWidth="1"/>
    <col min="1039" max="1280" width="9.140625" style="100"/>
    <col min="1281" max="1281" width="4.5703125" style="100" customWidth="1"/>
    <col min="1282" max="1282" width="20" style="100" customWidth="1"/>
    <col min="1283" max="1284" width="11.85546875" style="100" customWidth="1"/>
    <col min="1285" max="1285" width="12.7109375" style="100" customWidth="1"/>
    <col min="1286" max="1294" width="11.85546875" style="100" customWidth="1"/>
    <col min="1295" max="1536" width="9.140625" style="100"/>
    <col min="1537" max="1537" width="4.5703125" style="100" customWidth="1"/>
    <col min="1538" max="1538" width="20" style="100" customWidth="1"/>
    <col min="1539" max="1540" width="11.85546875" style="100" customWidth="1"/>
    <col min="1541" max="1541" width="12.7109375" style="100" customWidth="1"/>
    <col min="1542" max="1550" width="11.85546875" style="100" customWidth="1"/>
    <col min="1551" max="1792" width="9.140625" style="100"/>
    <col min="1793" max="1793" width="4.5703125" style="100" customWidth="1"/>
    <col min="1794" max="1794" width="20" style="100" customWidth="1"/>
    <col min="1795" max="1796" width="11.85546875" style="100" customWidth="1"/>
    <col min="1797" max="1797" width="12.7109375" style="100" customWidth="1"/>
    <col min="1798" max="1806" width="11.85546875" style="100" customWidth="1"/>
    <col min="1807" max="2048" width="9.140625" style="100"/>
    <col min="2049" max="2049" width="4.5703125" style="100" customWidth="1"/>
    <col min="2050" max="2050" width="20" style="100" customWidth="1"/>
    <col min="2051" max="2052" width="11.85546875" style="100" customWidth="1"/>
    <col min="2053" max="2053" width="12.7109375" style="100" customWidth="1"/>
    <col min="2054" max="2062" width="11.85546875" style="100" customWidth="1"/>
    <col min="2063" max="2304" width="9.140625" style="100"/>
    <col min="2305" max="2305" width="4.5703125" style="100" customWidth="1"/>
    <col min="2306" max="2306" width="20" style="100" customWidth="1"/>
    <col min="2307" max="2308" width="11.85546875" style="100" customWidth="1"/>
    <col min="2309" max="2309" width="12.7109375" style="100" customWidth="1"/>
    <col min="2310" max="2318" width="11.85546875" style="100" customWidth="1"/>
    <col min="2319" max="2560" width="9.140625" style="100"/>
    <col min="2561" max="2561" width="4.5703125" style="100" customWidth="1"/>
    <col min="2562" max="2562" width="20" style="100" customWidth="1"/>
    <col min="2563" max="2564" width="11.85546875" style="100" customWidth="1"/>
    <col min="2565" max="2565" width="12.7109375" style="100" customWidth="1"/>
    <col min="2566" max="2574" width="11.85546875" style="100" customWidth="1"/>
    <col min="2575" max="2816" width="9.140625" style="100"/>
    <col min="2817" max="2817" width="4.5703125" style="100" customWidth="1"/>
    <col min="2818" max="2818" width="20" style="100" customWidth="1"/>
    <col min="2819" max="2820" width="11.85546875" style="100" customWidth="1"/>
    <col min="2821" max="2821" width="12.7109375" style="100" customWidth="1"/>
    <col min="2822" max="2830" width="11.85546875" style="100" customWidth="1"/>
    <col min="2831" max="3072" width="9.140625" style="100"/>
    <col min="3073" max="3073" width="4.5703125" style="100" customWidth="1"/>
    <col min="3074" max="3074" width="20" style="100" customWidth="1"/>
    <col min="3075" max="3076" width="11.85546875" style="100" customWidth="1"/>
    <col min="3077" max="3077" width="12.7109375" style="100" customWidth="1"/>
    <col min="3078" max="3086" width="11.85546875" style="100" customWidth="1"/>
    <col min="3087" max="3328" width="9.140625" style="100"/>
    <col min="3329" max="3329" width="4.5703125" style="100" customWidth="1"/>
    <col min="3330" max="3330" width="20" style="100" customWidth="1"/>
    <col min="3331" max="3332" width="11.85546875" style="100" customWidth="1"/>
    <col min="3333" max="3333" width="12.7109375" style="100" customWidth="1"/>
    <col min="3334" max="3342" width="11.85546875" style="100" customWidth="1"/>
    <col min="3343" max="3584" width="9.140625" style="100"/>
    <col min="3585" max="3585" width="4.5703125" style="100" customWidth="1"/>
    <col min="3586" max="3586" width="20" style="100" customWidth="1"/>
    <col min="3587" max="3588" width="11.85546875" style="100" customWidth="1"/>
    <col min="3589" max="3589" width="12.7109375" style="100" customWidth="1"/>
    <col min="3590" max="3598" width="11.85546875" style="100" customWidth="1"/>
    <col min="3599" max="3840" width="9.140625" style="100"/>
    <col min="3841" max="3841" width="4.5703125" style="100" customWidth="1"/>
    <col min="3842" max="3842" width="20" style="100" customWidth="1"/>
    <col min="3843" max="3844" width="11.85546875" style="100" customWidth="1"/>
    <col min="3845" max="3845" width="12.7109375" style="100" customWidth="1"/>
    <col min="3846" max="3854" width="11.85546875" style="100" customWidth="1"/>
    <col min="3855" max="4096" width="9.140625" style="100"/>
    <col min="4097" max="4097" width="4.5703125" style="100" customWidth="1"/>
    <col min="4098" max="4098" width="20" style="100" customWidth="1"/>
    <col min="4099" max="4100" width="11.85546875" style="100" customWidth="1"/>
    <col min="4101" max="4101" width="12.7109375" style="100" customWidth="1"/>
    <col min="4102" max="4110" width="11.85546875" style="100" customWidth="1"/>
    <col min="4111" max="4352" width="9.140625" style="100"/>
    <col min="4353" max="4353" width="4.5703125" style="100" customWidth="1"/>
    <col min="4354" max="4354" width="20" style="100" customWidth="1"/>
    <col min="4355" max="4356" width="11.85546875" style="100" customWidth="1"/>
    <col min="4357" max="4357" width="12.7109375" style="100" customWidth="1"/>
    <col min="4358" max="4366" width="11.85546875" style="100" customWidth="1"/>
    <col min="4367" max="4608" width="9.140625" style="100"/>
    <col min="4609" max="4609" width="4.5703125" style="100" customWidth="1"/>
    <col min="4610" max="4610" width="20" style="100" customWidth="1"/>
    <col min="4611" max="4612" width="11.85546875" style="100" customWidth="1"/>
    <col min="4613" max="4613" width="12.7109375" style="100" customWidth="1"/>
    <col min="4614" max="4622" width="11.85546875" style="100" customWidth="1"/>
    <col min="4623" max="4864" width="9.140625" style="100"/>
    <col min="4865" max="4865" width="4.5703125" style="100" customWidth="1"/>
    <col min="4866" max="4866" width="20" style="100" customWidth="1"/>
    <col min="4867" max="4868" width="11.85546875" style="100" customWidth="1"/>
    <col min="4869" max="4869" width="12.7109375" style="100" customWidth="1"/>
    <col min="4870" max="4878" width="11.85546875" style="100" customWidth="1"/>
    <col min="4879" max="5120" width="9.140625" style="100"/>
    <col min="5121" max="5121" width="4.5703125" style="100" customWidth="1"/>
    <col min="5122" max="5122" width="20" style="100" customWidth="1"/>
    <col min="5123" max="5124" width="11.85546875" style="100" customWidth="1"/>
    <col min="5125" max="5125" width="12.7109375" style="100" customWidth="1"/>
    <col min="5126" max="5134" width="11.85546875" style="100" customWidth="1"/>
    <col min="5135" max="5376" width="9.140625" style="100"/>
    <col min="5377" max="5377" width="4.5703125" style="100" customWidth="1"/>
    <col min="5378" max="5378" width="20" style="100" customWidth="1"/>
    <col min="5379" max="5380" width="11.85546875" style="100" customWidth="1"/>
    <col min="5381" max="5381" width="12.7109375" style="100" customWidth="1"/>
    <col min="5382" max="5390" width="11.85546875" style="100" customWidth="1"/>
    <col min="5391" max="5632" width="9.140625" style="100"/>
    <col min="5633" max="5633" width="4.5703125" style="100" customWidth="1"/>
    <col min="5634" max="5634" width="20" style="100" customWidth="1"/>
    <col min="5635" max="5636" width="11.85546875" style="100" customWidth="1"/>
    <col min="5637" max="5637" width="12.7109375" style="100" customWidth="1"/>
    <col min="5638" max="5646" width="11.85546875" style="100" customWidth="1"/>
    <col min="5647" max="5888" width="9.140625" style="100"/>
    <col min="5889" max="5889" width="4.5703125" style="100" customWidth="1"/>
    <col min="5890" max="5890" width="20" style="100" customWidth="1"/>
    <col min="5891" max="5892" width="11.85546875" style="100" customWidth="1"/>
    <col min="5893" max="5893" width="12.7109375" style="100" customWidth="1"/>
    <col min="5894" max="5902" width="11.85546875" style="100" customWidth="1"/>
    <col min="5903" max="6144" width="9.140625" style="100"/>
    <col min="6145" max="6145" width="4.5703125" style="100" customWidth="1"/>
    <col min="6146" max="6146" width="20" style="100" customWidth="1"/>
    <col min="6147" max="6148" width="11.85546875" style="100" customWidth="1"/>
    <col min="6149" max="6149" width="12.7109375" style="100" customWidth="1"/>
    <col min="6150" max="6158" width="11.85546875" style="100" customWidth="1"/>
    <col min="6159" max="6400" width="9.140625" style="100"/>
    <col min="6401" max="6401" width="4.5703125" style="100" customWidth="1"/>
    <col min="6402" max="6402" width="20" style="100" customWidth="1"/>
    <col min="6403" max="6404" width="11.85546875" style="100" customWidth="1"/>
    <col min="6405" max="6405" width="12.7109375" style="100" customWidth="1"/>
    <col min="6406" max="6414" width="11.85546875" style="100" customWidth="1"/>
    <col min="6415" max="6656" width="9.140625" style="100"/>
    <col min="6657" max="6657" width="4.5703125" style="100" customWidth="1"/>
    <col min="6658" max="6658" width="20" style="100" customWidth="1"/>
    <col min="6659" max="6660" width="11.85546875" style="100" customWidth="1"/>
    <col min="6661" max="6661" width="12.7109375" style="100" customWidth="1"/>
    <col min="6662" max="6670" width="11.85546875" style="100" customWidth="1"/>
    <col min="6671" max="6912" width="9.140625" style="100"/>
    <col min="6913" max="6913" width="4.5703125" style="100" customWidth="1"/>
    <col min="6914" max="6914" width="20" style="100" customWidth="1"/>
    <col min="6915" max="6916" width="11.85546875" style="100" customWidth="1"/>
    <col min="6917" max="6917" width="12.7109375" style="100" customWidth="1"/>
    <col min="6918" max="6926" width="11.85546875" style="100" customWidth="1"/>
    <col min="6927" max="7168" width="9.140625" style="100"/>
    <col min="7169" max="7169" width="4.5703125" style="100" customWidth="1"/>
    <col min="7170" max="7170" width="20" style="100" customWidth="1"/>
    <col min="7171" max="7172" width="11.85546875" style="100" customWidth="1"/>
    <col min="7173" max="7173" width="12.7109375" style="100" customWidth="1"/>
    <col min="7174" max="7182" width="11.85546875" style="100" customWidth="1"/>
    <col min="7183" max="7424" width="9.140625" style="100"/>
    <col min="7425" max="7425" width="4.5703125" style="100" customWidth="1"/>
    <col min="7426" max="7426" width="20" style="100" customWidth="1"/>
    <col min="7427" max="7428" width="11.85546875" style="100" customWidth="1"/>
    <col min="7429" max="7429" width="12.7109375" style="100" customWidth="1"/>
    <col min="7430" max="7438" width="11.85546875" style="100" customWidth="1"/>
    <col min="7439" max="7680" width="9.140625" style="100"/>
    <col min="7681" max="7681" width="4.5703125" style="100" customWidth="1"/>
    <col min="7682" max="7682" width="20" style="100" customWidth="1"/>
    <col min="7683" max="7684" width="11.85546875" style="100" customWidth="1"/>
    <col min="7685" max="7685" width="12.7109375" style="100" customWidth="1"/>
    <col min="7686" max="7694" width="11.85546875" style="100" customWidth="1"/>
    <col min="7695" max="7936" width="9.140625" style="100"/>
    <col min="7937" max="7937" width="4.5703125" style="100" customWidth="1"/>
    <col min="7938" max="7938" width="20" style="100" customWidth="1"/>
    <col min="7939" max="7940" width="11.85546875" style="100" customWidth="1"/>
    <col min="7941" max="7941" width="12.7109375" style="100" customWidth="1"/>
    <col min="7942" max="7950" width="11.85546875" style="100" customWidth="1"/>
    <col min="7951" max="8192" width="9.140625" style="100"/>
    <col min="8193" max="8193" width="4.5703125" style="100" customWidth="1"/>
    <col min="8194" max="8194" width="20" style="100" customWidth="1"/>
    <col min="8195" max="8196" width="11.85546875" style="100" customWidth="1"/>
    <col min="8197" max="8197" width="12.7109375" style="100" customWidth="1"/>
    <col min="8198" max="8206" width="11.85546875" style="100" customWidth="1"/>
    <col min="8207" max="8448" width="9.140625" style="100"/>
    <col min="8449" max="8449" width="4.5703125" style="100" customWidth="1"/>
    <col min="8450" max="8450" width="20" style="100" customWidth="1"/>
    <col min="8451" max="8452" width="11.85546875" style="100" customWidth="1"/>
    <col min="8453" max="8453" width="12.7109375" style="100" customWidth="1"/>
    <col min="8454" max="8462" width="11.85546875" style="100" customWidth="1"/>
    <col min="8463" max="8704" width="9.140625" style="100"/>
    <col min="8705" max="8705" width="4.5703125" style="100" customWidth="1"/>
    <col min="8706" max="8706" width="20" style="100" customWidth="1"/>
    <col min="8707" max="8708" width="11.85546875" style="100" customWidth="1"/>
    <col min="8709" max="8709" width="12.7109375" style="100" customWidth="1"/>
    <col min="8710" max="8718" width="11.85546875" style="100" customWidth="1"/>
    <col min="8719" max="8960" width="9.140625" style="100"/>
    <col min="8961" max="8961" width="4.5703125" style="100" customWidth="1"/>
    <col min="8962" max="8962" width="20" style="100" customWidth="1"/>
    <col min="8963" max="8964" width="11.85546875" style="100" customWidth="1"/>
    <col min="8965" max="8965" width="12.7109375" style="100" customWidth="1"/>
    <col min="8966" max="8974" width="11.85546875" style="100" customWidth="1"/>
    <col min="8975" max="9216" width="9.140625" style="100"/>
    <col min="9217" max="9217" width="4.5703125" style="100" customWidth="1"/>
    <col min="9218" max="9218" width="20" style="100" customWidth="1"/>
    <col min="9219" max="9220" width="11.85546875" style="100" customWidth="1"/>
    <col min="9221" max="9221" width="12.7109375" style="100" customWidth="1"/>
    <col min="9222" max="9230" width="11.85546875" style="100" customWidth="1"/>
    <col min="9231" max="9472" width="9.140625" style="100"/>
    <col min="9473" max="9473" width="4.5703125" style="100" customWidth="1"/>
    <col min="9474" max="9474" width="20" style="100" customWidth="1"/>
    <col min="9475" max="9476" width="11.85546875" style="100" customWidth="1"/>
    <col min="9477" max="9477" width="12.7109375" style="100" customWidth="1"/>
    <col min="9478" max="9486" width="11.85546875" style="100" customWidth="1"/>
    <col min="9487" max="9728" width="9.140625" style="100"/>
    <col min="9729" max="9729" width="4.5703125" style="100" customWidth="1"/>
    <col min="9730" max="9730" width="20" style="100" customWidth="1"/>
    <col min="9731" max="9732" width="11.85546875" style="100" customWidth="1"/>
    <col min="9733" max="9733" width="12.7109375" style="100" customWidth="1"/>
    <col min="9734" max="9742" width="11.85546875" style="100" customWidth="1"/>
    <col min="9743" max="9984" width="9.140625" style="100"/>
    <col min="9985" max="9985" width="4.5703125" style="100" customWidth="1"/>
    <col min="9986" max="9986" width="20" style="100" customWidth="1"/>
    <col min="9987" max="9988" width="11.85546875" style="100" customWidth="1"/>
    <col min="9989" max="9989" width="12.7109375" style="100" customWidth="1"/>
    <col min="9990" max="9998" width="11.85546875" style="100" customWidth="1"/>
    <col min="9999" max="10240" width="9.140625" style="100"/>
    <col min="10241" max="10241" width="4.5703125" style="100" customWidth="1"/>
    <col min="10242" max="10242" width="20" style="100" customWidth="1"/>
    <col min="10243" max="10244" width="11.85546875" style="100" customWidth="1"/>
    <col min="10245" max="10245" width="12.7109375" style="100" customWidth="1"/>
    <col min="10246" max="10254" width="11.85546875" style="100" customWidth="1"/>
    <col min="10255" max="10496" width="9.140625" style="100"/>
    <col min="10497" max="10497" width="4.5703125" style="100" customWidth="1"/>
    <col min="10498" max="10498" width="20" style="100" customWidth="1"/>
    <col min="10499" max="10500" width="11.85546875" style="100" customWidth="1"/>
    <col min="10501" max="10501" width="12.7109375" style="100" customWidth="1"/>
    <col min="10502" max="10510" width="11.85546875" style="100" customWidth="1"/>
    <col min="10511" max="10752" width="9.140625" style="100"/>
    <col min="10753" max="10753" width="4.5703125" style="100" customWidth="1"/>
    <col min="10754" max="10754" width="20" style="100" customWidth="1"/>
    <col min="10755" max="10756" width="11.85546875" style="100" customWidth="1"/>
    <col min="10757" max="10757" width="12.7109375" style="100" customWidth="1"/>
    <col min="10758" max="10766" width="11.85546875" style="100" customWidth="1"/>
    <col min="10767" max="11008" width="9.140625" style="100"/>
    <col min="11009" max="11009" width="4.5703125" style="100" customWidth="1"/>
    <col min="11010" max="11010" width="20" style="100" customWidth="1"/>
    <col min="11011" max="11012" width="11.85546875" style="100" customWidth="1"/>
    <col min="11013" max="11013" width="12.7109375" style="100" customWidth="1"/>
    <col min="11014" max="11022" width="11.85546875" style="100" customWidth="1"/>
    <col min="11023" max="11264" width="9.140625" style="100"/>
    <col min="11265" max="11265" width="4.5703125" style="100" customWidth="1"/>
    <col min="11266" max="11266" width="20" style="100" customWidth="1"/>
    <col min="11267" max="11268" width="11.85546875" style="100" customWidth="1"/>
    <col min="11269" max="11269" width="12.7109375" style="100" customWidth="1"/>
    <col min="11270" max="11278" width="11.85546875" style="100" customWidth="1"/>
    <col min="11279" max="11520" width="9.140625" style="100"/>
    <col min="11521" max="11521" width="4.5703125" style="100" customWidth="1"/>
    <col min="11522" max="11522" width="20" style="100" customWidth="1"/>
    <col min="11523" max="11524" width="11.85546875" style="100" customWidth="1"/>
    <col min="11525" max="11525" width="12.7109375" style="100" customWidth="1"/>
    <col min="11526" max="11534" width="11.85546875" style="100" customWidth="1"/>
    <col min="11535" max="11776" width="9.140625" style="100"/>
    <col min="11777" max="11777" width="4.5703125" style="100" customWidth="1"/>
    <col min="11778" max="11778" width="20" style="100" customWidth="1"/>
    <col min="11779" max="11780" width="11.85546875" style="100" customWidth="1"/>
    <col min="11781" max="11781" width="12.7109375" style="100" customWidth="1"/>
    <col min="11782" max="11790" width="11.85546875" style="100" customWidth="1"/>
    <col min="11791" max="12032" width="9.140625" style="100"/>
    <col min="12033" max="12033" width="4.5703125" style="100" customWidth="1"/>
    <col min="12034" max="12034" width="20" style="100" customWidth="1"/>
    <col min="12035" max="12036" width="11.85546875" style="100" customWidth="1"/>
    <col min="12037" max="12037" width="12.7109375" style="100" customWidth="1"/>
    <col min="12038" max="12046" width="11.85546875" style="100" customWidth="1"/>
    <col min="12047" max="12288" width="9.140625" style="100"/>
    <col min="12289" max="12289" width="4.5703125" style="100" customWidth="1"/>
    <col min="12290" max="12290" width="20" style="100" customWidth="1"/>
    <col min="12291" max="12292" width="11.85546875" style="100" customWidth="1"/>
    <col min="12293" max="12293" width="12.7109375" style="100" customWidth="1"/>
    <col min="12294" max="12302" width="11.85546875" style="100" customWidth="1"/>
    <col min="12303" max="12544" width="9.140625" style="100"/>
    <col min="12545" max="12545" width="4.5703125" style="100" customWidth="1"/>
    <col min="12546" max="12546" width="20" style="100" customWidth="1"/>
    <col min="12547" max="12548" width="11.85546875" style="100" customWidth="1"/>
    <col min="12549" max="12549" width="12.7109375" style="100" customWidth="1"/>
    <col min="12550" max="12558" width="11.85546875" style="100" customWidth="1"/>
    <col min="12559" max="12800" width="9.140625" style="100"/>
    <col min="12801" max="12801" width="4.5703125" style="100" customWidth="1"/>
    <col min="12802" max="12802" width="20" style="100" customWidth="1"/>
    <col min="12803" max="12804" width="11.85546875" style="100" customWidth="1"/>
    <col min="12805" max="12805" width="12.7109375" style="100" customWidth="1"/>
    <col min="12806" max="12814" width="11.85546875" style="100" customWidth="1"/>
    <col min="12815" max="13056" width="9.140625" style="100"/>
    <col min="13057" max="13057" width="4.5703125" style="100" customWidth="1"/>
    <col min="13058" max="13058" width="20" style="100" customWidth="1"/>
    <col min="13059" max="13060" width="11.85546875" style="100" customWidth="1"/>
    <col min="13061" max="13061" width="12.7109375" style="100" customWidth="1"/>
    <col min="13062" max="13070" width="11.85546875" style="100" customWidth="1"/>
    <col min="13071" max="13312" width="9.140625" style="100"/>
    <col min="13313" max="13313" width="4.5703125" style="100" customWidth="1"/>
    <col min="13314" max="13314" width="20" style="100" customWidth="1"/>
    <col min="13315" max="13316" width="11.85546875" style="100" customWidth="1"/>
    <col min="13317" max="13317" width="12.7109375" style="100" customWidth="1"/>
    <col min="13318" max="13326" width="11.85546875" style="100" customWidth="1"/>
    <col min="13327" max="13568" width="9.140625" style="100"/>
    <col min="13569" max="13569" width="4.5703125" style="100" customWidth="1"/>
    <col min="13570" max="13570" width="20" style="100" customWidth="1"/>
    <col min="13571" max="13572" width="11.85546875" style="100" customWidth="1"/>
    <col min="13573" max="13573" width="12.7109375" style="100" customWidth="1"/>
    <col min="13574" max="13582" width="11.85546875" style="100" customWidth="1"/>
    <col min="13583" max="13824" width="9.140625" style="100"/>
    <col min="13825" max="13825" width="4.5703125" style="100" customWidth="1"/>
    <col min="13826" max="13826" width="20" style="100" customWidth="1"/>
    <col min="13827" max="13828" width="11.85546875" style="100" customWidth="1"/>
    <col min="13829" max="13829" width="12.7109375" style="100" customWidth="1"/>
    <col min="13830" max="13838" width="11.85546875" style="100" customWidth="1"/>
    <col min="13839" max="14080" width="9.140625" style="100"/>
    <col min="14081" max="14081" width="4.5703125" style="100" customWidth="1"/>
    <col min="14082" max="14082" width="20" style="100" customWidth="1"/>
    <col min="14083" max="14084" width="11.85546875" style="100" customWidth="1"/>
    <col min="14085" max="14085" width="12.7109375" style="100" customWidth="1"/>
    <col min="14086" max="14094" width="11.85546875" style="100" customWidth="1"/>
    <col min="14095" max="14336" width="9.140625" style="100"/>
    <col min="14337" max="14337" width="4.5703125" style="100" customWidth="1"/>
    <col min="14338" max="14338" width="20" style="100" customWidth="1"/>
    <col min="14339" max="14340" width="11.85546875" style="100" customWidth="1"/>
    <col min="14341" max="14341" width="12.7109375" style="100" customWidth="1"/>
    <col min="14342" max="14350" width="11.85546875" style="100" customWidth="1"/>
    <col min="14351" max="14592" width="9.140625" style="100"/>
    <col min="14593" max="14593" width="4.5703125" style="100" customWidth="1"/>
    <col min="14594" max="14594" width="20" style="100" customWidth="1"/>
    <col min="14595" max="14596" width="11.85546875" style="100" customWidth="1"/>
    <col min="14597" max="14597" width="12.7109375" style="100" customWidth="1"/>
    <col min="14598" max="14606" width="11.85546875" style="100" customWidth="1"/>
    <col min="14607" max="14848" width="9.140625" style="100"/>
    <col min="14849" max="14849" width="4.5703125" style="100" customWidth="1"/>
    <col min="14850" max="14850" width="20" style="100" customWidth="1"/>
    <col min="14851" max="14852" width="11.85546875" style="100" customWidth="1"/>
    <col min="14853" max="14853" width="12.7109375" style="100" customWidth="1"/>
    <col min="14854" max="14862" width="11.85546875" style="100" customWidth="1"/>
    <col min="14863" max="15104" width="9.140625" style="100"/>
    <col min="15105" max="15105" width="4.5703125" style="100" customWidth="1"/>
    <col min="15106" max="15106" width="20" style="100" customWidth="1"/>
    <col min="15107" max="15108" width="11.85546875" style="100" customWidth="1"/>
    <col min="15109" max="15109" width="12.7109375" style="100" customWidth="1"/>
    <col min="15110" max="15118" width="11.85546875" style="100" customWidth="1"/>
    <col min="15119" max="15360" width="9.140625" style="100"/>
    <col min="15361" max="15361" width="4.5703125" style="100" customWidth="1"/>
    <col min="15362" max="15362" width="20" style="100" customWidth="1"/>
    <col min="15363" max="15364" width="11.85546875" style="100" customWidth="1"/>
    <col min="15365" max="15365" width="12.7109375" style="100" customWidth="1"/>
    <col min="15366" max="15374" width="11.85546875" style="100" customWidth="1"/>
    <col min="15375" max="15616" width="9.140625" style="100"/>
    <col min="15617" max="15617" width="4.5703125" style="100" customWidth="1"/>
    <col min="15618" max="15618" width="20" style="100" customWidth="1"/>
    <col min="15619" max="15620" width="11.85546875" style="100" customWidth="1"/>
    <col min="15621" max="15621" width="12.7109375" style="100" customWidth="1"/>
    <col min="15622" max="15630" width="11.85546875" style="100" customWidth="1"/>
    <col min="15631" max="15872" width="9.140625" style="100"/>
    <col min="15873" max="15873" width="4.5703125" style="100" customWidth="1"/>
    <col min="15874" max="15874" width="20" style="100" customWidth="1"/>
    <col min="15875" max="15876" width="11.85546875" style="100" customWidth="1"/>
    <col min="15877" max="15877" width="12.7109375" style="100" customWidth="1"/>
    <col min="15878" max="15886" width="11.85546875" style="100" customWidth="1"/>
    <col min="15887" max="16128" width="9.140625" style="100"/>
    <col min="16129" max="16129" width="4.5703125" style="100" customWidth="1"/>
    <col min="16130" max="16130" width="20" style="100" customWidth="1"/>
    <col min="16131" max="16132" width="11.85546875" style="100" customWidth="1"/>
    <col min="16133" max="16133" width="12.7109375" style="100" customWidth="1"/>
    <col min="16134" max="16142" width="11.85546875" style="100" customWidth="1"/>
    <col min="16143" max="16384" width="9.140625" style="100"/>
  </cols>
  <sheetData>
    <row r="1" spans="1:16" ht="19.5" customHeight="1">
      <c r="B1" s="101"/>
      <c r="C1" s="102" t="s">
        <v>203</v>
      </c>
      <c r="I1" s="102" t="str">
        <f>C1</f>
        <v>Table H1: Actual Population 2011</v>
      </c>
    </row>
    <row r="2" spans="1:16" ht="18.75" customHeight="1">
      <c r="C2" s="143" t="s">
        <v>81</v>
      </c>
      <c r="D2" s="103"/>
      <c r="E2" s="103"/>
      <c r="F2" s="103"/>
      <c r="G2" s="103"/>
      <c r="H2" s="103"/>
      <c r="I2" s="143" t="str">
        <f>C2</f>
        <v>All Categories</v>
      </c>
      <c r="J2" s="103"/>
      <c r="K2" s="103"/>
      <c r="L2" s="103"/>
      <c r="M2" s="103"/>
      <c r="N2" s="103"/>
    </row>
    <row r="3" spans="1:16" s="105" customFormat="1" ht="18.75" customHeight="1">
      <c r="A3" s="317" t="s">
        <v>67</v>
      </c>
      <c r="B3" s="317" t="s">
        <v>65</v>
      </c>
      <c r="C3" s="313" t="s">
        <v>122</v>
      </c>
      <c r="D3" s="314"/>
      <c r="E3" s="315"/>
      <c r="F3" s="313" t="s">
        <v>123</v>
      </c>
      <c r="G3" s="314"/>
      <c r="H3" s="315"/>
      <c r="I3" s="313" t="s">
        <v>124</v>
      </c>
      <c r="J3" s="314"/>
      <c r="K3" s="315"/>
      <c r="L3" s="313" t="s">
        <v>125</v>
      </c>
      <c r="M3" s="314"/>
      <c r="N3" s="315"/>
      <c r="O3" s="104"/>
      <c r="P3" s="104"/>
    </row>
    <row r="4" spans="1:16" s="104" customFormat="1" ht="18.75" customHeight="1">
      <c r="A4" s="316"/>
      <c r="B4" s="316"/>
      <c r="C4" s="106" t="s">
        <v>126</v>
      </c>
      <c r="D4" s="106" t="s">
        <v>127</v>
      </c>
      <c r="E4" s="106" t="s">
        <v>15</v>
      </c>
      <c r="F4" s="106" t="s">
        <v>126</v>
      </c>
      <c r="G4" s="106" t="s">
        <v>127</v>
      </c>
      <c r="H4" s="106" t="s">
        <v>15</v>
      </c>
      <c r="I4" s="106" t="s">
        <v>126</v>
      </c>
      <c r="J4" s="106" t="s">
        <v>127</v>
      </c>
      <c r="K4" s="106" t="s">
        <v>15</v>
      </c>
      <c r="L4" s="106" t="s">
        <v>126</v>
      </c>
      <c r="M4" s="106" t="s">
        <v>127</v>
      </c>
      <c r="N4" s="106" t="s">
        <v>15</v>
      </c>
    </row>
    <row r="5" spans="1:16" s="108" customFormat="1" ht="10.5" customHeight="1">
      <c r="A5" s="107">
        <v>1</v>
      </c>
      <c r="B5" s="107">
        <v>2</v>
      </c>
      <c r="C5" s="107">
        <v>3</v>
      </c>
      <c r="D5" s="107">
        <v>4</v>
      </c>
      <c r="E5" s="107">
        <v>5</v>
      </c>
      <c r="F5" s="107">
        <v>6</v>
      </c>
      <c r="G5" s="107">
        <v>7</v>
      </c>
      <c r="H5" s="107">
        <v>8</v>
      </c>
      <c r="I5" s="107">
        <v>9</v>
      </c>
      <c r="J5" s="107">
        <v>10</v>
      </c>
      <c r="K5" s="107">
        <v>11</v>
      </c>
      <c r="L5" s="107">
        <v>12</v>
      </c>
      <c r="M5" s="107">
        <v>13</v>
      </c>
      <c r="N5" s="107">
        <v>14</v>
      </c>
    </row>
    <row r="6" spans="1:16" ht="18.75" customHeight="1">
      <c r="A6" s="109">
        <v>1</v>
      </c>
      <c r="B6" s="110" t="s">
        <v>16</v>
      </c>
      <c r="C6" s="111">
        <v>3928676</v>
      </c>
      <c r="D6" s="111">
        <v>3702011</v>
      </c>
      <c r="E6" s="112">
        <v>7630687</v>
      </c>
      <c r="F6" s="113">
        <v>2464358</v>
      </c>
      <c r="G6" s="113">
        <v>2356808</v>
      </c>
      <c r="H6" s="112">
        <v>4821166</v>
      </c>
      <c r="I6" s="113">
        <v>1693005</v>
      </c>
      <c r="J6" s="113">
        <v>1572404</v>
      </c>
      <c r="K6" s="112">
        <v>3265409</v>
      </c>
      <c r="L6" s="113">
        <v>1604993</v>
      </c>
      <c r="M6" s="113">
        <v>1437250</v>
      </c>
      <c r="N6" s="112">
        <v>3042243</v>
      </c>
    </row>
    <row r="7" spans="1:16" ht="18.75" customHeight="1">
      <c r="A7" s="109">
        <v>2</v>
      </c>
      <c r="B7" s="110" t="s">
        <v>17</v>
      </c>
      <c r="C7" s="111">
        <v>89306</v>
      </c>
      <c r="D7" s="111">
        <v>86835</v>
      </c>
      <c r="E7" s="112">
        <v>176141</v>
      </c>
      <c r="F7" s="113">
        <v>52786</v>
      </c>
      <c r="G7" s="113">
        <v>52239</v>
      </c>
      <c r="H7" s="112">
        <v>105025</v>
      </c>
      <c r="I7" s="113">
        <v>35577</v>
      </c>
      <c r="J7" s="113">
        <v>35028</v>
      </c>
      <c r="K7" s="112">
        <v>70605</v>
      </c>
      <c r="L7" s="113">
        <v>30571</v>
      </c>
      <c r="M7" s="113">
        <v>29946</v>
      </c>
      <c r="N7" s="112">
        <v>60517</v>
      </c>
    </row>
    <row r="8" spans="1:16" ht="18.75" customHeight="1">
      <c r="A8" s="109">
        <v>3</v>
      </c>
      <c r="B8" s="110" t="s">
        <v>48</v>
      </c>
      <c r="C8" s="111">
        <v>1830465</v>
      </c>
      <c r="D8" s="111">
        <v>1755118</v>
      </c>
      <c r="E8" s="112">
        <v>3585583</v>
      </c>
      <c r="F8" s="113">
        <v>1052689</v>
      </c>
      <c r="G8" s="113">
        <v>1005498</v>
      </c>
      <c r="H8" s="112">
        <v>2058187</v>
      </c>
      <c r="I8" s="113">
        <v>694035</v>
      </c>
      <c r="J8" s="113">
        <v>647097</v>
      </c>
      <c r="K8" s="112">
        <v>1341132</v>
      </c>
      <c r="L8" s="113">
        <v>617737</v>
      </c>
      <c r="M8" s="113">
        <v>537533</v>
      </c>
      <c r="N8" s="112">
        <v>1155270</v>
      </c>
    </row>
    <row r="9" spans="1:16" ht="18.75" customHeight="1">
      <c r="A9" s="109">
        <v>4</v>
      </c>
      <c r="B9" s="114" t="s">
        <v>49</v>
      </c>
      <c r="C9" s="111">
        <v>8218461</v>
      </c>
      <c r="D9" s="111">
        <v>7594381</v>
      </c>
      <c r="E9" s="112">
        <v>15812842</v>
      </c>
      <c r="F9" s="113">
        <v>4074766</v>
      </c>
      <c r="G9" s="113">
        <v>3684181</v>
      </c>
      <c r="H9" s="112">
        <v>7758947</v>
      </c>
      <c r="I9" s="113">
        <v>2510937</v>
      </c>
      <c r="J9" s="113">
        <v>2127355</v>
      </c>
      <c r="K9" s="112">
        <v>4638292</v>
      </c>
      <c r="L9" s="113">
        <v>1941603</v>
      </c>
      <c r="M9" s="113">
        <v>1514249</v>
      </c>
      <c r="N9" s="112">
        <v>3455852</v>
      </c>
    </row>
    <row r="10" spans="1:16" ht="18.75" customHeight="1">
      <c r="A10" s="109">
        <v>5</v>
      </c>
      <c r="B10" s="114" t="s">
        <v>19</v>
      </c>
      <c r="C10" s="111">
        <v>1443501</v>
      </c>
      <c r="D10" s="111">
        <v>1393845</v>
      </c>
      <c r="E10" s="112">
        <v>2837346</v>
      </c>
      <c r="F10" s="113">
        <v>857732</v>
      </c>
      <c r="G10" s="113">
        <v>838065</v>
      </c>
      <c r="H10" s="112">
        <v>1695797</v>
      </c>
      <c r="I10" s="113">
        <v>554861</v>
      </c>
      <c r="J10" s="113">
        <v>540669</v>
      </c>
      <c r="K10" s="112">
        <v>1095530</v>
      </c>
      <c r="L10" s="113">
        <v>514788</v>
      </c>
      <c r="M10" s="113">
        <v>500123</v>
      </c>
      <c r="N10" s="112">
        <v>1014911</v>
      </c>
    </row>
    <row r="11" spans="1:16" ht="18.75" customHeight="1">
      <c r="A11" s="109">
        <v>6</v>
      </c>
      <c r="B11" s="110" t="s">
        <v>20</v>
      </c>
      <c r="C11" s="111">
        <v>55412</v>
      </c>
      <c r="D11" s="111">
        <v>52192</v>
      </c>
      <c r="E11" s="112">
        <v>107604</v>
      </c>
      <c r="F11" s="113">
        <v>33994</v>
      </c>
      <c r="G11" s="113">
        <v>31619</v>
      </c>
      <c r="H11" s="112">
        <v>65613</v>
      </c>
      <c r="I11" s="113">
        <v>22501</v>
      </c>
      <c r="J11" s="113">
        <v>20970</v>
      </c>
      <c r="K11" s="112">
        <v>43471</v>
      </c>
      <c r="L11" s="113">
        <v>21849</v>
      </c>
      <c r="M11" s="113">
        <v>20229</v>
      </c>
      <c r="N11" s="112">
        <v>42078</v>
      </c>
    </row>
    <row r="12" spans="1:16" ht="18.75" customHeight="1">
      <c r="A12" s="109">
        <v>7</v>
      </c>
      <c r="B12" s="110" t="s">
        <v>21</v>
      </c>
      <c r="C12" s="111">
        <v>3193645</v>
      </c>
      <c r="D12" s="111">
        <v>2768785</v>
      </c>
      <c r="E12" s="112">
        <v>5962430</v>
      </c>
      <c r="F12" s="113">
        <v>1954147</v>
      </c>
      <c r="G12" s="113">
        <v>1708180</v>
      </c>
      <c r="H12" s="112">
        <v>3662327</v>
      </c>
      <c r="I12" s="113">
        <v>1282482</v>
      </c>
      <c r="J12" s="113">
        <v>1114664</v>
      </c>
      <c r="K12" s="112">
        <v>2397146</v>
      </c>
      <c r="L12" s="113">
        <v>1204993</v>
      </c>
      <c r="M12" s="113">
        <v>1043974</v>
      </c>
      <c r="N12" s="112">
        <v>2248967</v>
      </c>
    </row>
    <row r="13" spans="1:16" ht="18.75" customHeight="1">
      <c r="A13" s="109">
        <v>8</v>
      </c>
      <c r="B13" s="110" t="s">
        <v>22</v>
      </c>
      <c r="C13" s="111">
        <v>1405278</v>
      </c>
      <c r="D13" s="111">
        <v>1147191</v>
      </c>
      <c r="E13" s="112">
        <v>2552469</v>
      </c>
      <c r="F13" s="113">
        <v>865044</v>
      </c>
      <c r="G13" s="113">
        <v>701436</v>
      </c>
      <c r="H13" s="112">
        <v>1566480</v>
      </c>
      <c r="I13" s="113">
        <v>594850</v>
      </c>
      <c r="J13" s="113">
        <v>487373</v>
      </c>
      <c r="K13" s="112">
        <v>1082223</v>
      </c>
      <c r="L13" s="113">
        <v>577075</v>
      </c>
      <c r="M13" s="113">
        <v>458953</v>
      </c>
      <c r="N13" s="112">
        <v>1036028</v>
      </c>
    </row>
    <row r="14" spans="1:16" ht="18.75" customHeight="1">
      <c r="A14" s="109">
        <v>9</v>
      </c>
      <c r="B14" s="110" t="s">
        <v>50</v>
      </c>
      <c r="C14" s="111">
        <v>321214</v>
      </c>
      <c r="D14" s="111">
        <v>286880</v>
      </c>
      <c r="E14" s="112">
        <v>608094</v>
      </c>
      <c r="F14" s="113">
        <v>199828</v>
      </c>
      <c r="G14" s="113">
        <v>177574</v>
      </c>
      <c r="H14" s="112">
        <v>377402</v>
      </c>
      <c r="I14" s="113">
        <v>133990</v>
      </c>
      <c r="J14" s="113">
        <v>120614</v>
      </c>
      <c r="K14" s="112">
        <v>254604</v>
      </c>
      <c r="L14" s="113">
        <v>132379</v>
      </c>
      <c r="M14" s="113">
        <v>118616</v>
      </c>
      <c r="N14" s="112">
        <v>250995</v>
      </c>
    </row>
    <row r="15" spans="1:16" ht="18.75" customHeight="1">
      <c r="A15" s="109">
        <v>10</v>
      </c>
      <c r="B15" s="110" t="s">
        <v>51</v>
      </c>
      <c r="C15" s="111">
        <v>752362</v>
      </c>
      <c r="D15" s="111">
        <v>670758</v>
      </c>
      <c r="E15" s="112">
        <v>1423120</v>
      </c>
      <c r="F15" s="113">
        <v>438354</v>
      </c>
      <c r="G15" s="113">
        <v>394572</v>
      </c>
      <c r="H15" s="112">
        <v>832926</v>
      </c>
      <c r="I15" s="113">
        <v>280230</v>
      </c>
      <c r="J15" s="113">
        <v>257406</v>
      </c>
      <c r="K15" s="112">
        <v>537636</v>
      </c>
      <c r="L15" s="113">
        <v>251498</v>
      </c>
      <c r="M15" s="113">
        <v>233162</v>
      </c>
      <c r="N15" s="112">
        <v>484660</v>
      </c>
    </row>
    <row r="16" spans="1:16" ht="18.75" customHeight="1">
      <c r="A16" s="109">
        <v>11</v>
      </c>
      <c r="B16" s="110" t="s">
        <v>52</v>
      </c>
      <c r="C16" s="111">
        <v>2191423</v>
      </c>
      <c r="D16" s="111">
        <v>2087326</v>
      </c>
      <c r="E16" s="112">
        <v>4278749</v>
      </c>
      <c r="F16" s="113">
        <v>1206937</v>
      </c>
      <c r="G16" s="113">
        <v>1145845</v>
      </c>
      <c r="H16" s="112">
        <v>2352782</v>
      </c>
      <c r="I16" s="113">
        <v>793034</v>
      </c>
      <c r="J16" s="113">
        <v>716497</v>
      </c>
      <c r="K16" s="112">
        <v>1509531</v>
      </c>
      <c r="L16" s="113">
        <v>640533</v>
      </c>
      <c r="M16" s="113">
        <v>542108</v>
      </c>
      <c r="N16" s="112">
        <v>1182641</v>
      </c>
    </row>
    <row r="17" spans="1:14" ht="18.75" customHeight="1">
      <c r="A17" s="109">
        <v>12</v>
      </c>
      <c r="B17" s="110" t="s">
        <v>25</v>
      </c>
      <c r="C17" s="111">
        <v>2763631</v>
      </c>
      <c r="D17" s="111">
        <v>2614607</v>
      </c>
      <c r="E17" s="112">
        <v>5378238</v>
      </c>
      <c r="F17" s="113">
        <v>1733965</v>
      </c>
      <c r="G17" s="113">
        <v>1642985</v>
      </c>
      <c r="H17" s="112">
        <v>3376950</v>
      </c>
      <c r="I17" s="113">
        <v>1193754</v>
      </c>
      <c r="J17" s="113">
        <v>1087143</v>
      </c>
      <c r="K17" s="112">
        <v>2280897</v>
      </c>
      <c r="L17" s="113">
        <v>1144702</v>
      </c>
      <c r="M17" s="113">
        <v>1033371</v>
      </c>
      <c r="N17" s="112">
        <v>2178073</v>
      </c>
    </row>
    <row r="18" spans="1:14" ht="18.75" customHeight="1">
      <c r="A18" s="109">
        <v>13</v>
      </c>
      <c r="B18" s="110" t="s">
        <v>53</v>
      </c>
      <c r="C18" s="111">
        <v>1338437</v>
      </c>
      <c r="D18" s="111">
        <v>1284669</v>
      </c>
      <c r="E18" s="112">
        <v>2623106</v>
      </c>
      <c r="F18" s="113">
        <v>859570</v>
      </c>
      <c r="G18" s="113">
        <v>828940</v>
      </c>
      <c r="H18" s="112">
        <v>1688510</v>
      </c>
      <c r="I18" s="113">
        <v>558785</v>
      </c>
      <c r="J18" s="113">
        <v>536495</v>
      </c>
      <c r="K18" s="112">
        <v>1095280</v>
      </c>
      <c r="L18" s="113">
        <v>524751</v>
      </c>
      <c r="M18" s="113">
        <v>507733</v>
      </c>
      <c r="N18" s="112">
        <v>1032484</v>
      </c>
    </row>
    <row r="19" spans="1:14" ht="18.75" customHeight="1">
      <c r="A19" s="109">
        <v>14</v>
      </c>
      <c r="B19" s="110" t="s">
        <v>27</v>
      </c>
      <c r="C19" s="111">
        <v>4450839</v>
      </c>
      <c r="D19" s="111">
        <v>4125704</v>
      </c>
      <c r="E19" s="112">
        <v>8576543</v>
      </c>
      <c r="F19" s="113">
        <v>2582515</v>
      </c>
      <c r="G19" s="113">
        <v>2407907</v>
      </c>
      <c r="H19" s="112">
        <v>4990422</v>
      </c>
      <c r="I19" s="113">
        <v>1685022</v>
      </c>
      <c r="J19" s="113">
        <v>1521043</v>
      </c>
      <c r="K19" s="112">
        <v>3206065</v>
      </c>
      <c r="L19" s="113">
        <v>1521562</v>
      </c>
      <c r="M19" s="113">
        <v>1323034</v>
      </c>
      <c r="N19" s="112">
        <v>2844596</v>
      </c>
    </row>
    <row r="20" spans="1:14" ht="18.75" customHeight="1">
      <c r="A20" s="109">
        <v>15</v>
      </c>
      <c r="B20" s="110" t="s">
        <v>28</v>
      </c>
      <c r="C20" s="111">
        <v>5339558</v>
      </c>
      <c r="D20" s="111">
        <v>4788053</v>
      </c>
      <c r="E20" s="112">
        <v>10127611</v>
      </c>
      <c r="F20" s="113">
        <v>3339709</v>
      </c>
      <c r="G20" s="113">
        <v>2997967</v>
      </c>
      <c r="H20" s="112">
        <v>6337676</v>
      </c>
      <c r="I20" s="113">
        <v>2223149</v>
      </c>
      <c r="J20" s="113">
        <v>1975151</v>
      </c>
      <c r="K20" s="112">
        <v>4198300</v>
      </c>
      <c r="L20" s="113">
        <v>2191509</v>
      </c>
      <c r="M20" s="113">
        <v>1883953</v>
      </c>
      <c r="N20" s="112">
        <v>4075462</v>
      </c>
    </row>
    <row r="21" spans="1:14" ht="18.75" customHeight="1">
      <c r="A21" s="109">
        <v>16</v>
      </c>
      <c r="B21" s="110" t="s">
        <v>29</v>
      </c>
      <c r="C21" s="111">
        <v>136514</v>
      </c>
      <c r="D21" s="111">
        <v>129832</v>
      </c>
      <c r="E21" s="112">
        <v>266346</v>
      </c>
      <c r="F21" s="113">
        <v>83402</v>
      </c>
      <c r="G21" s="113">
        <v>80055</v>
      </c>
      <c r="H21" s="112">
        <v>163457</v>
      </c>
      <c r="I21" s="113">
        <v>54806</v>
      </c>
      <c r="J21" s="113">
        <v>53613</v>
      </c>
      <c r="K21" s="112">
        <v>108419</v>
      </c>
      <c r="L21" s="113">
        <v>47276</v>
      </c>
      <c r="M21" s="113">
        <v>47147</v>
      </c>
      <c r="N21" s="112">
        <v>94423</v>
      </c>
    </row>
    <row r="22" spans="1:14" ht="18.75" customHeight="1">
      <c r="A22" s="109">
        <v>17</v>
      </c>
      <c r="B22" s="110" t="s">
        <v>30</v>
      </c>
      <c r="C22" s="111">
        <v>199219</v>
      </c>
      <c r="D22" s="111">
        <v>193131</v>
      </c>
      <c r="E22" s="112">
        <v>392350</v>
      </c>
      <c r="F22" s="113">
        <v>114502</v>
      </c>
      <c r="G22" s="113">
        <v>111888</v>
      </c>
      <c r="H22" s="112">
        <v>226390</v>
      </c>
      <c r="I22" s="113">
        <v>71878</v>
      </c>
      <c r="J22" s="113">
        <v>70660</v>
      </c>
      <c r="K22" s="112">
        <v>142538</v>
      </c>
      <c r="L22" s="113">
        <v>66847</v>
      </c>
      <c r="M22" s="113">
        <v>64678</v>
      </c>
      <c r="N22" s="112">
        <v>131525</v>
      </c>
    </row>
    <row r="23" spans="1:14" ht="18.75" customHeight="1">
      <c r="A23" s="109">
        <v>18</v>
      </c>
      <c r="B23" s="110" t="s">
        <v>31</v>
      </c>
      <c r="C23" s="111">
        <v>60637</v>
      </c>
      <c r="D23" s="111">
        <v>58612</v>
      </c>
      <c r="E23" s="112">
        <v>119249</v>
      </c>
      <c r="F23" s="113">
        <v>35290</v>
      </c>
      <c r="G23" s="113">
        <v>33816</v>
      </c>
      <c r="H23" s="112">
        <v>69106</v>
      </c>
      <c r="I23" s="113">
        <v>22868</v>
      </c>
      <c r="J23" s="113">
        <v>22056</v>
      </c>
      <c r="K23" s="112">
        <v>44924</v>
      </c>
      <c r="L23" s="113">
        <v>22397</v>
      </c>
      <c r="M23" s="113">
        <v>21530</v>
      </c>
      <c r="N23" s="112">
        <v>43927</v>
      </c>
    </row>
    <row r="24" spans="1:14" ht="18.75" customHeight="1">
      <c r="A24" s="109">
        <v>19</v>
      </c>
      <c r="B24" s="110" t="s">
        <v>54</v>
      </c>
      <c r="C24" s="111">
        <v>124980</v>
      </c>
      <c r="D24" s="111">
        <v>116505</v>
      </c>
      <c r="E24" s="112">
        <v>241485</v>
      </c>
      <c r="F24" s="113">
        <v>76622</v>
      </c>
      <c r="G24" s="113">
        <v>70660</v>
      </c>
      <c r="H24" s="112">
        <v>147282</v>
      </c>
      <c r="I24" s="113">
        <v>50684</v>
      </c>
      <c r="J24" s="113">
        <v>46810</v>
      </c>
      <c r="K24" s="112">
        <v>97494</v>
      </c>
      <c r="L24" s="113">
        <v>46661</v>
      </c>
      <c r="M24" s="113">
        <v>44490</v>
      </c>
      <c r="N24" s="112">
        <v>91151</v>
      </c>
    </row>
    <row r="25" spans="1:14" ht="18.75" customHeight="1">
      <c r="A25" s="109">
        <v>20</v>
      </c>
      <c r="B25" s="110" t="s">
        <v>55</v>
      </c>
      <c r="C25" s="111">
        <v>2124200</v>
      </c>
      <c r="D25" s="111">
        <v>2036063</v>
      </c>
      <c r="E25" s="112">
        <v>4160263</v>
      </c>
      <c r="F25" s="113">
        <v>1316052</v>
      </c>
      <c r="G25" s="113">
        <v>1280153</v>
      </c>
      <c r="H25" s="112">
        <v>2596205</v>
      </c>
      <c r="I25" s="113">
        <v>856152</v>
      </c>
      <c r="J25" s="113">
        <v>852248</v>
      </c>
      <c r="K25" s="112">
        <v>1708400</v>
      </c>
      <c r="L25" s="113">
        <v>734774</v>
      </c>
      <c r="M25" s="113">
        <v>732324</v>
      </c>
      <c r="N25" s="112">
        <v>1467098</v>
      </c>
    </row>
    <row r="26" spans="1:14" ht="18.75" customHeight="1">
      <c r="A26" s="109">
        <v>21</v>
      </c>
      <c r="B26" s="110" t="s">
        <v>56</v>
      </c>
      <c r="C26" s="111">
        <v>1343125</v>
      </c>
      <c r="D26" s="111">
        <v>1083148</v>
      </c>
      <c r="E26" s="112">
        <v>2426273</v>
      </c>
      <c r="F26" s="113">
        <v>847558</v>
      </c>
      <c r="G26" s="113">
        <v>668415</v>
      </c>
      <c r="H26" s="112">
        <v>1515973</v>
      </c>
      <c r="I26" s="113">
        <v>604169</v>
      </c>
      <c r="J26" s="113">
        <v>481961</v>
      </c>
      <c r="K26" s="112">
        <v>1086130</v>
      </c>
      <c r="L26" s="113">
        <v>611456</v>
      </c>
      <c r="M26" s="113">
        <v>487630</v>
      </c>
      <c r="N26" s="112">
        <v>1099086</v>
      </c>
    </row>
    <row r="27" spans="1:14" ht="18.75" customHeight="1">
      <c r="A27" s="109">
        <v>22</v>
      </c>
      <c r="B27" s="110" t="s">
        <v>32</v>
      </c>
      <c r="C27" s="111">
        <v>4389967</v>
      </c>
      <c r="D27" s="111">
        <v>3919418</v>
      </c>
      <c r="E27" s="112">
        <v>8309385</v>
      </c>
      <c r="F27" s="113">
        <v>2560010</v>
      </c>
      <c r="G27" s="113">
        <v>2283930</v>
      </c>
      <c r="H27" s="112">
        <v>4843940</v>
      </c>
      <c r="I27" s="113">
        <v>1692315</v>
      </c>
      <c r="J27" s="113">
        <v>1490572</v>
      </c>
      <c r="K27" s="112">
        <v>3182887</v>
      </c>
      <c r="L27" s="113">
        <v>1498109</v>
      </c>
      <c r="M27" s="113">
        <v>1293599</v>
      </c>
      <c r="N27" s="112">
        <v>2791708</v>
      </c>
    </row>
    <row r="28" spans="1:14" ht="18.75" customHeight="1">
      <c r="A28" s="109">
        <v>23</v>
      </c>
      <c r="B28" s="110" t="s">
        <v>33</v>
      </c>
      <c r="C28" s="111">
        <v>30224</v>
      </c>
      <c r="D28" s="111">
        <v>29437</v>
      </c>
      <c r="E28" s="112">
        <v>59661</v>
      </c>
      <c r="F28" s="113">
        <v>20252</v>
      </c>
      <c r="G28" s="113">
        <v>19625</v>
      </c>
      <c r="H28" s="112">
        <v>39877</v>
      </c>
      <c r="I28" s="113">
        <v>13499</v>
      </c>
      <c r="J28" s="113">
        <v>13327</v>
      </c>
      <c r="K28" s="112">
        <v>26826</v>
      </c>
      <c r="L28" s="113">
        <v>13451</v>
      </c>
      <c r="M28" s="113">
        <v>13121</v>
      </c>
      <c r="N28" s="112">
        <v>26572</v>
      </c>
    </row>
    <row r="29" spans="1:14" ht="18.75" customHeight="1">
      <c r="A29" s="109">
        <v>24</v>
      </c>
      <c r="B29" s="110" t="s">
        <v>34</v>
      </c>
      <c r="C29" s="111">
        <v>2960289</v>
      </c>
      <c r="D29" s="111">
        <v>2802476</v>
      </c>
      <c r="E29" s="112">
        <v>5762765</v>
      </c>
      <c r="F29" s="113">
        <v>1887534</v>
      </c>
      <c r="G29" s="113">
        <v>1773836</v>
      </c>
      <c r="H29" s="112">
        <v>3661370</v>
      </c>
      <c r="I29" s="113">
        <v>1298947</v>
      </c>
      <c r="J29" s="113">
        <v>1206033</v>
      </c>
      <c r="K29" s="112">
        <v>2504980</v>
      </c>
      <c r="L29" s="113">
        <v>1234641</v>
      </c>
      <c r="M29" s="113">
        <v>1139813</v>
      </c>
      <c r="N29" s="112">
        <v>2374454</v>
      </c>
    </row>
    <row r="30" spans="1:14" ht="18.75" customHeight="1">
      <c r="A30" s="109">
        <v>25</v>
      </c>
      <c r="B30" s="110" t="s">
        <v>35</v>
      </c>
      <c r="C30" s="111">
        <v>175527</v>
      </c>
      <c r="D30" s="111">
        <v>167434</v>
      </c>
      <c r="E30" s="112">
        <v>342961</v>
      </c>
      <c r="F30" s="113">
        <v>109250</v>
      </c>
      <c r="G30" s="113">
        <v>104512</v>
      </c>
      <c r="H30" s="112">
        <v>213762</v>
      </c>
      <c r="I30" s="113">
        <v>71805</v>
      </c>
      <c r="J30" s="113">
        <v>68697</v>
      </c>
      <c r="K30" s="112">
        <v>140502</v>
      </c>
      <c r="L30" s="113">
        <v>72517</v>
      </c>
      <c r="M30" s="113">
        <v>66479</v>
      </c>
      <c r="N30" s="112">
        <v>138996</v>
      </c>
    </row>
    <row r="31" spans="1:14" ht="18.75" customHeight="1">
      <c r="A31" s="109">
        <v>26</v>
      </c>
      <c r="B31" s="110" t="s">
        <v>36</v>
      </c>
      <c r="C31" s="111">
        <v>13832396</v>
      </c>
      <c r="D31" s="111">
        <v>12312506</v>
      </c>
      <c r="E31" s="112">
        <v>26144902</v>
      </c>
      <c r="F31" s="113">
        <v>7687786</v>
      </c>
      <c r="G31" s="113">
        <v>6864113</v>
      </c>
      <c r="H31" s="112">
        <v>14551899</v>
      </c>
      <c r="I31" s="113">
        <v>5354121</v>
      </c>
      <c r="J31" s="113">
        <v>4804192</v>
      </c>
      <c r="K31" s="112">
        <v>10158313</v>
      </c>
      <c r="L31" s="113">
        <v>4650075</v>
      </c>
      <c r="M31" s="113">
        <v>4188835</v>
      </c>
      <c r="N31" s="112">
        <v>8838910</v>
      </c>
    </row>
    <row r="32" spans="1:14" ht="18.75" customHeight="1">
      <c r="A32" s="109">
        <v>27</v>
      </c>
      <c r="B32" s="110" t="s">
        <v>37</v>
      </c>
      <c r="C32" s="111">
        <v>578228</v>
      </c>
      <c r="D32" s="111">
        <v>512808</v>
      </c>
      <c r="E32" s="112">
        <v>1091036</v>
      </c>
      <c r="F32" s="113">
        <v>350260</v>
      </c>
      <c r="G32" s="113">
        <v>316073</v>
      </c>
      <c r="H32" s="112">
        <v>666333</v>
      </c>
      <c r="I32" s="113">
        <v>240484</v>
      </c>
      <c r="J32" s="113">
        <v>222014</v>
      </c>
      <c r="K32" s="112">
        <v>462498</v>
      </c>
      <c r="L32" s="113">
        <v>228066</v>
      </c>
      <c r="M32" s="113">
        <v>209246</v>
      </c>
      <c r="N32" s="112">
        <v>437312</v>
      </c>
    </row>
    <row r="33" spans="1:14" ht="18.75" customHeight="1">
      <c r="A33" s="109">
        <v>28</v>
      </c>
      <c r="B33" s="110" t="s">
        <v>57</v>
      </c>
      <c r="C33" s="111">
        <v>4364707</v>
      </c>
      <c r="D33" s="111">
        <v>4167372</v>
      </c>
      <c r="E33" s="112">
        <v>8532079</v>
      </c>
      <c r="F33" s="113">
        <v>2736535</v>
      </c>
      <c r="G33" s="113">
        <v>2623348</v>
      </c>
      <c r="H33" s="112">
        <v>5359883</v>
      </c>
      <c r="I33" s="113">
        <v>1889920</v>
      </c>
      <c r="J33" s="113">
        <v>1799286</v>
      </c>
      <c r="K33" s="112">
        <v>3689206</v>
      </c>
      <c r="L33" s="113">
        <v>1809921</v>
      </c>
      <c r="M33" s="113">
        <v>1595363</v>
      </c>
      <c r="N33" s="112">
        <v>3405284</v>
      </c>
    </row>
    <row r="34" spans="1:14" ht="18.75" customHeight="1">
      <c r="A34" s="109">
        <v>29</v>
      </c>
      <c r="B34" s="110" t="s">
        <v>39</v>
      </c>
      <c r="C34" s="111">
        <v>16131</v>
      </c>
      <c r="D34" s="111">
        <v>15407</v>
      </c>
      <c r="E34" s="112">
        <v>31538</v>
      </c>
      <c r="F34" s="113">
        <v>10134</v>
      </c>
      <c r="G34" s="113">
        <v>9766</v>
      </c>
      <c r="H34" s="112">
        <v>19900</v>
      </c>
      <c r="I34" s="113">
        <v>6856</v>
      </c>
      <c r="J34" s="113">
        <v>6388</v>
      </c>
      <c r="K34" s="112">
        <v>13244</v>
      </c>
      <c r="L34" s="113">
        <v>6797</v>
      </c>
      <c r="M34" s="113">
        <v>6109</v>
      </c>
      <c r="N34" s="112">
        <v>12906</v>
      </c>
    </row>
    <row r="35" spans="1:14" ht="18.75" customHeight="1">
      <c r="A35" s="109">
        <v>30</v>
      </c>
      <c r="B35" s="110" t="s">
        <v>40</v>
      </c>
      <c r="C35" s="111">
        <v>50373</v>
      </c>
      <c r="D35" s="111">
        <v>42017</v>
      </c>
      <c r="E35" s="112">
        <v>92390</v>
      </c>
      <c r="F35" s="113">
        <v>30487</v>
      </c>
      <c r="G35" s="113">
        <v>24234</v>
      </c>
      <c r="H35" s="112">
        <v>54721</v>
      </c>
      <c r="I35" s="113">
        <v>20846</v>
      </c>
      <c r="J35" s="113">
        <v>16475</v>
      </c>
      <c r="K35" s="112">
        <v>37321</v>
      </c>
      <c r="L35" s="113">
        <v>22255</v>
      </c>
      <c r="M35" s="113">
        <v>16415</v>
      </c>
      <c r="N35" s="112">
        <v>38670</v>
      </c>
    </row>
    <row r="36" spans="1:14" ht="18.75" customHeight="1">
      <c r="A36" s="109">
        <v>31</v>
      </c>
      <c r="B36" s="110" t="s">
        <v>41</v>
      </c>
      <c r="C36" s="111">
        <v>19233</v>
      </c>
      <c r="D36" s="111">
        <v>17424</v>
      </c>
      <c r="E36" s="112">
        <v>36657</v>
      </c>
      <c r="F36" s="113">
        <v>11027</v>
      </c>
      <c r="G36" s="113">
        <v>9951</v>
      </c>
      <c r="H36" s="112">
        <v>20978</v>
      </c>
      <c r="I36" s="113">
        <v>6587</v>
      </c>
      <c r="J36" s="113">
        <v>5651</v>
      </c>
      <c r="K36" s="112">
        <v>12238</v>
      </c>
      <c r="L36" s="113">
        <v>6473</v>
      </c>
      <c r="M36" s="113">
        <v>4874</v>
      </c>
      <c r="N36" s="112">
        <v>11347</v>
      </c>
    </row>
    <row r="37" spans="1:14" ht="18.75" customHeight="1">
      <c r="A37" s="109">
        <v>32</v>
      </c>
      <c r="B37" s="110" t="s">
        <v>42</v>
      </c>
      <c r="C37" s="111">
        <v>9665</v>
      </c>
      <c r="D37" s="111">
        <v>8583</v>
      </c>
      <c r="E37" s="112">
        <v>18248</v>
      </c>
      <c r="F37" s="113">
        <v>5505</v>
      </c>
      <c r="G37" s="113">
        <v>4759</v>
      </c>
      <c r="H37" s="112">
        <v>10264</v>
      </c>
      <c r="I37" s="113">
        <v>3881</v>
      </c>
      <c r="J37" s="113">
        <v>2994</v>
      </c>
      <c r="K37" s="112">
        <v>6875</v>
      </c>
      <c r="L37" s="113">
        <v>5469</v>
      </c>
      <c r="M37" s="113">
        <v>2918</v>
      </c>
      <c r="N37" s="112">
        <v>8387</v>
      </c>
    </row>
    <row r="38" spans="1:14" ht="18.75" customHeight="1">
      <c r="A38" s="109">
        <v>33</v>
      </c>
      <c r="B38" s="110" t="s">
        <v>43</v>
      </c>
      <c r="C38" s="111">
        <v>853818</v>
      </c>
      <c r="D38" s="111">
        <v>722742</v>
      </c>
      <c r="E38" s="112">
        <v>1576560</v>
      </c>
      <c r="F38" s="113">
        <v>520384</v>
      </c>
      <c r="G38" s="113">
        <v>439183</v>
      </c>
      <c r="H38" s="112">
        <v>959567</v>
      </c>
      <c r="I38" s="113">
        <v>358329</v>
      </c>
      <c r="J38" s="113">
        <v>301333</v>
      </c>
      <c r="K38" s="112">
        <v>659662</v>
      </c>
      <c r="L38" s="113">
        <v>350747</v>
      </c>
      <c r="M38" s="113">
        <v>286490</v>
      </c>
      <c r="N38" s="112">
        <v>637237</v>
      </c>
    </row>
    <row r="39" spans="1:14" ht="18.75" customHeight="1">
      <c r="A39" s="109">
        <v>34</v>
      </c>
      <c r="B39" s="110" t="s">
        <v>58</v>
      </c>
      <c r="C39" s="111">
        <v>2827</v>
      </c>
      <c r="D39" s="111">
        <v>2764</v>
      </c>
      <c r="E39" s="112">
        <v>5591</v>
      </c>
      <c r="F39" s="113">
        <v>1662</v>
      </c>
      <c r="G39" s="113">
        <v>1898</v>
      </c>
      <c r="H39" s="112">
        <v>3560</v>
      </c>
      <c r="I39" s="113">
        <v>1137</v>
      </c>
      <c r="J39" s="113">
        <v>1141</v>
      </c>
      <c r="K39" s="112">
        <v>2278</v>
      </c>
      <c r="L39" s="113">
        <v>1094</v>
      </c>
      <c r="M39" s="113">
        <v>1191</v>
      </c>
      <c r="N39" s="112">
        <v>2285</v>
      </c>
    </row>
    <row r="40" spans="1:14" ht="18.75" customHeight="1">
      <c r="A40" s="109">
        <v>35</v>
      </c>
      <c r="B40" s="110" t="s">
        <v>45</v>
      </c>
      <c r="C40" s="111">
        <v>52148</v>
      </c>
      <c r="D40" s="111">
        <v>49994</v>
      </c>
      <c r="E40" s="112">
        <v>102142</v>
      </c>
      <c r="F40" s="113">
        <v>32023</v>
      </c>
      <c r="G40" s="113">
        <v>30688</v>
      </c>
      <c r="H40" s="112">
        <v>62711</v>
      </c>
      <c r="I40" s="113">
        <v>21292</v>
      </c>
      <c r="J40" s="113">
        <v>20197</v>
      </c>
      <c r="K40" s="112">
        <v>41489</v>
      </c>
      <c r="L40" s="113">
        <v>20098</v>
      </c>
      <c r="M40" s="113">
        <v>18869</v>
      </c>
      <c r="N40" s="112">
        <v>38967</v>
      </c>
    </row>
    <row r="41" spans="1:14" ht="19.5" customHeight="1">
      <c r="A41" s="316" t="s">
        <v>46</v>
      </c>
      <c r="B41" s="316"/>
      <c r="C41" s="115">
        <f>SUM(C6:C40)</f>
        <v>68646416</v>
      </c>
      <c r="D41" s="115">
        <f t="shared" ref="D41:N41" si="0">SUM(D6:D40)</f>
        <v>62746028</v>
      </c>
      <c r="E41" s="115">
        <f t="shared" si="0"/>
        <v>131392444</v>
      </c>
      <c r="F41" s="115">
        <f t="shared" si="0"/>
        <v>40152669</v>
      </c>
      <c r="G41" s="115">
        <f t="shared" si="0"/>
        <v>36724719</v>
      </c>
      <c r="H41" s="115">
        <f t="shared" si="0"/>
        <v>76877388</v>
      </c>
      <c r="I41" s="115">
        <f t="shared" si="0"/>
        <v>26896788</v>
      </c>
      <c r="J41" s="115">
        <f t="shared" si="0"/>
        <v>24245557</v>
      </c>
      <c r="K41" s="115">
        <f t="shared" si="0"/>
        <v>51142345</v>
      </c>
      <c r="L41" s="115">
        <f t="shared" si="0"/>
        <v>24369667</v>
      </c>
      <c r="M41" s="115">
        <f t="shared" si="0"/>
        <v>21425355</v>
      </c>
      <c r="N41" s="115">
        <f t="shared" si="0"/>
        <v>45795022</v>
      </c>
    </row>
    <row r="42" spans="1:14" ht="19.5" customHeight="1">
      <c r="E42" s="116"/>
      <c r="H42" s="116"/>
      <c r="K42" s="116"/>
      <c r="N42" s="116"/>
    </row>
    <row r="43" spans="1:14" ht="19.5" customHeight="1">
      <c r="E43" s="117"/>
      <c r="H43" s="117"/>
      <c r="K43" s="117"/>
    </row>
    <row r="46" spans="1:14" ht="19.5" customHeight="1">
      <c r="C46" s="116"/>
    </row>
  </sheetData>
  <mergeCells count="7">
    <mergeCell ref="I3:K3"/>
    <mergeCell ref="L3:N3"/>
    <mergeCell ref="A41:B41"/>
    <mergeCell ref="A3:A4"/>
    <mergeCell ref="B3:B4"/>
    <mergeCell ref="C3:E3"/>
    <mergeCell ref="F3:H3"/>
  </mergeCells>
  <pageMargins left="0.32" right="0.16" top="0.52" bottom="0.62" header="0.36" footer="0.24"/>
  <pageSetup paperSize="9" firstPageNumber="69" orientation="portrait" useFirstPageNumber="1" horizontalDpi="300" verticalDpi="300" r:id="rId1"/>
  <headerFooter alignWithMargins="0">
    <oddFooter>&amp;LStatistics of School Education 2011-12&amp;R&amp;P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P45"/>
  <sheetViews>
    <sheetView showZeros="0" view="pageBreakPreview" topLeftCell="A34" zoomScaleSheetLayoutView="100" workbookViewId="0">
      <selection activeCell="D37" sqref="D37"/>
    </sheetView>
  </sheetViews>
  <sheetFormatPr defaultRowHeight="19.5" customHeight="1"/>
  <cols>
    <col min="1" max="1" width="4.5703125" style="100" customWidth="1"/>
    <col min="2" max="2" width="20" style="100" customWidth="1"/>
    <col min="3" max="4" width="11.85546875" style="100" customWidth="1"/>
    <col min="5" max="5" width="12.7109375" style="100" customWidth="1"/>
    <col min="6" max="14" width="11.85546875" style="100" customWidth="1"/>
    <col min="15" max="256" width="9.140625" style="100"/>
    <col min="257" max="257" width="4.5703125" style="100" customWidth="1"/>
    <col min="258" max="258" width="20" style="100" customWidth="1"/>
    <col min="259" max="260" width="11.85546875" style="100" customWidth="1"/>
    <col min="261" max="261" width="12.7109375" style="100" customWidth="1"/>
    <col min="262" max="270" width="11.85546875" style="100" customWidth="1"/>
    <col min="271" max="512" width="9.140625" style="100"/>
    <col min="513" max="513" width="4.5703125" style="100" customWidth="1"/>
    <col min="514" max="514" width="20" style="100" customWidth="1"/>
    <col min="515" max="516" width="11.85546875" style="100" customWidth="1"/>
    <col min="517" max="517" width="12.7109375" style="100" customWidth="1"/>
    <col min="518" max="526" width="11.85546875" style="100" customWidth="1"/>
    <col min="527" max="768" width="9.140625" style="100"/>
    <col min="769" max="769" width="4.5703125" style="100" customWidth="1"/>
    <col min="770" max="770" width="20" style="100" customWidth="1"/>
    <col min="771" max="772" width="11.85546875" style="100" customWidth="1"/>
    <col min="773" max="773" width="12.7109375" style="100" customWidth="1"/>
    <col min="774" max="782" width="11.85546875" style="100" customWidth="1"/>
    <col min="783" max="1024" width="9.140625" style="100"/>
    <col min="1025" max="1025" width="4.5703125" style="100" customWidth="1"/>
    <col min="1026" max="1026" width="20" style="100" customWidth="1"/>
    <col min="1027" max="1028" width="11.85546875" style="100" customWidth="1"/>
    <col min="1029" max="1029" width="12.7109375" style="100" customWidth="1"/>
    <col min="1030" max="1038" width="11.85546875" style="100" customWidth="1"/>
    <col min="1039" max="1280" width="9.140625" style="100"/>
    <col min="1281" max="1281" width="4.5703125" style="100" customWidth="1"/>
    <col min="1282" max="1282" width="20" style="100" customWidth="1"/>
    <col min="1283" max="1284" width="11.85546875" style="100" customWidth="1"/>
    <col min="1285" max="1285" width="12.7109375" style="100" customWidth="1"/>
    <col min="1286" max="1294" width="11.85546875" style="100" customWidth="1"/>
    <col min="1295" max="1536" width="9.140625" style="100"/>
    <col min="1537" max="1537" width="4.5703125" style="100" customWidth="1"/>
    <col min="1538" max="1538" width="20" style="100" customWidth="1"/>
    <col min="1539" max="1540" width="11.85546875" style="100" customWidth="1"/>
    <col min="1541" max="1541" width="12.7109375" style="100" customWidth="1"/>
    <col min="1542" max="1550" width="11.85546875" style="100" customWidth="1"/>
    <col min="1551" max="1792" width="9.140625" style="100"/>
    <col min="1793" max="1793" width="4.5703125" style="100" customWidth="1"/>
    <col min="1794" max="1794" width="20" style="100" customWidth="1"/>
    <col min="1795" max="1796" width="11.85546875" style="100" customWidth="1"/>
    <col min="1797" max="1797" width="12.7109375" style="100" customWidth="1"/>
    <col min="1798" max="1806" width="11.85546875" style="100" customWidth="1"/>
    <col min="1807" max="2048" width="9.140625" style="100"/>
    <col min="2049" max="2049" width="4.5703125" style="100" customWidth="1"/>
    <col min="2050" max="2050" width="20" style="100" customWidth="1"/>
    <col min="2051" max="2052" width="11.85546875" style="100" customWidth="1"/>
    <col min="2053" max="2053" width="12.7109375" style="100" customWidth="1"/>
    <col min="2054" max="2062" width="11.85546875" style="100" customWidth="1"/>
    <col min="2063" max="2304" width="9.140625" style="100"/>
    <col min="2305" max="2305" width="4.5703125" style="100" customWidth="1"/>
    <col min="2306" max="2306" width="20" style="100" customWidth="1"/>
    <col min="2307" max="2308" width="11.85546875" style="100" customWidth="1"/>
    <col min="2309" max="2309" width="12.7109375" style="100" customWidth="1"/>
    <col min="2310" max="2318" width="11.85546875" style="100" customWidth="1"/>
    <col min="2319" max="2560" width="9.140625" style="100"/>
    <col min="2561" max="2561" width="4.5703125" style="100" customWidth="1"/>
    <col min="2562" max="2562" width="20" style="100" customWidth="1"/>
    <col min="2563" max="2564" width="11.85546875" style="100" customWidth="1"/>
    <col min="2565" max="2565" width="12.7109375" style="100" customWidth="1"/>
    <col min="2566" max="2574" width="11.85546875" style="100" customWidth="1"/>
    <col min="2575" max="2816" width="9.140625" style="100"/>
    <col min="2817" max="2817" width="4.5703125" style="100" customWidth="1"/>
    <col min="2818" max="2818" width="20" style="100" customWidth="1"/>
    <col min="2819" max="2820" width="11.85546875" style="100" customWidth="1"/>
    <col min="2821" max="2821" width="12.7109375" style="100" customWidth="1"/>
    <col min="2822" max="2830" width="11.85546875" style="100" customWidth="1"/>
    <col min="2831" max="3072" width="9.140625" style="100"/>
    <col min="3073" max="3073" width="4.5703125" style="100" customWidth="1"/>
    <col min="3074" max="3074" width="20" style="100" customWidth="1"/>
    <col min="3075" max="3076" width="11.85546875" style="100" customWidth="1"/>
    <col min="3077" max="3077" width="12.7109375" style="100" customWidth="1"/>
    <col min="3078" max="3086" width="11.85546875" style="100" customWidth="1"/>
    <col min="3087" max="3328" width="9.140625" style="100"/>
    <col min="3329" max="3329" width="4.5703125" style="100" customWidth="1"/>
    <col min="3330" max="3330" width="20" style="100" customWidth="1"/>
    <col min="3331" max="3332" width="11.85546875" style="100" customWidth="1"/>
    <col min="3333" max="3333" width="12.7109375" style="100" customWidth="1"/>
    <col min="3334" max="3342" width="11.85546875" style="100" customWidth="1"/>
    <col min="3343" max="3584" width="9.140625" style="100"/>
    <col min="3585" max="3585" width="4.5703125" style="100" customWidth="1"/>
    <col min="3586" max="3586" width="20" style="100" customWidth="1"/>
    <col min="3587" max="3588" width="11.85546875" style="100" customWidth="1"/>
    <col min="3589" max="3589" width="12.7109375" style="100" customWidth="1"/>
    <col min="3590" max="3598" width="11.85546875" style="100" customWidth="1"/>
    <col min="3599" max="3840" width="9.140625" style="100"/>
    <col min="3841" max="3841" width="4.5703125" style="100" customWidth="1"/>
    <col min="3842" max="3842" width="20" style="100" customWidth="1"/>
    <col min="3843" max="3844" width="11.85546875" style="100" customWidth="1"/>
    <col min="3845" max="3845" width="12.7109375" style="100" customWidth="1"/>
    <col min="3846" max="3854" width="11.85546875" style="100" customWidth="1"/>
    <col min="3855" max="4096" width="9.140625" style="100"/>
    <col min="4097" max="4097" width="4.5703125" style="100" customWidth="1"/>
    <col min="4098" max="4098" width="20" style="100" customWidth="1"/>
    <col min="4099" max="4100" width="11.85546875" style="100" customWidth="1"/>
    <col min="4101" max="4101" width="12.7109375" style="100" customWidth="1"/>
    <col min="4102" max="4110" width="11.85546875" style="100" customWidth="1"/>
    <col min="4111" max="4352" width="9.140625" style="100"/>
    <col min="4353" max="4353" width="4.5703125" style="100" customWidth="1"/>
    <col min="4354" max="4354" width="20" style="100" customWidth="1"/>
    <col min="4355" max="4356" width="11.85546875" style="100" customWidth="1"/>
    <col min="4357" max="4357" width="12.7109375" style="100" customWidth="1"/>
    <col min="4358" max="4366" width="11.85546875" style="100" customWidth="1"/>
    <col min="4367" max="4608" width="9.140625" style="100"/>
    <col min="4609" max="4609" width="4.5703125" style="100" customWidth="1"/>
    <col min="4610" max="4610" width="20" style="100" customWidth="1"/>
    <col min="4611" max="4612" width="11.85546875" style="100" customWidth="1"/>
    <col min="4613" max="4613" width="12.7109375" style="100" customWidth="1"/>
    <col min="4614" max="4622" width="11.85546875" style="100" customWidth="1"/>
    <col min="4623" max="4864" width="9.140625" style="100"/>
    <col min="4865" max="4865" width="4.5703125" style="100" customWidth="1"/>
    <col min="4866" max="4866" width="20" style="100" customWidth="1"/>
    <col min="4867" max="4868" width="11.85546875" style="100" customWidth="1"/>
    <col min="4869" max="4869" width="12.7109375" style="100" customWidth="1"/>
    <col min="4870" max="4878" width="11.85546875" style="100" customWidth="1"/>
    <col min="4879" max="5120" width="9.140625" style="100"/>
    <col min="5121" max="5121" width="4.5703125" style="100" customWidth="1"/>
    <col min="5122" max="5122" width="20" style="100" customWidth="1"/>
    <col min="5123" max="5124" width="11.85546875" style="100" customWidth="1"/>
    <col min="5125" max="5125" width="12.7109375" style="100" customWidth="1"/>
    <col min="5126" max="5134" width="11.85546875" style="100" customWidth="1"/>
    <col min="5135" max="5376" width="9.140625" style="100"/>
    <col min="5377" max="5377" width="4.5703125" style="100" customWidth="1"/>
    <col min="5378" max="5378" width="20" style="100" customWidth="1"/>
    <col min="5379" max="5380" width="11.85546875" style="100" customWidth="1"/>
    <col min="5381" max="5381" width="12.7109375" style="100" customWidth="1"/>
    <col min="5382" max="5390" width="11.85546875" style="100" customWidth="1"/>
    <col min="5391" max="5632" width="9.140625" style="100"/>
    <col min="5633" max="5633" width="4.5703125" style="100" customWidth="1"/>
    <col min="5634" max="5634" width="20" style="100" customWidth="1"/>
    <col min="5635" max="5636" width="11.85546875" style="100" customWidth="1"/>
    <col min="5637" max="5637" width="12.7109375" style="100" customWidth="1"/>
    <col min="5638" max="5646" width="11.85546875" style="100" customWidth="1"/>
    <col min="5647" max="5888" width="9.140625" style="100"/>
    <col min="5889" max="5889" width="4.5703125" style="100" customWidth="1"/>
    <col min="5890" max="5890" width="20" style="100" customWidth="1"/>
    <col min="5891" max="5892" width="11.85546875" style="100" customWidth="1"/>
    <col min="5893" max="5893" width="12.7109375" style="100" customWidth="1"/>
    <col min="5894" max="5902" width="11.85546875" style="100" customWidth="1"/>
    <col min="5903" max="6144" width="9.140625" style="100"/>
    <col min="6145" max="6145" width="4.5703125" style="100" customWidth="1"/>
    <col min="6146" max="6146" width="20" style="100" customWidth="1"/>
    <col min="6147" max="6148" width="11.85546875" style="100" customWidth="1"/>
    <col min="6149" max="6149" width="12.7109375" style="100" customWidth="1"/>
    <col min="6150" max="6158" width="11.85546875" style="100" customWidth="1"/>
    <col min="6159" max="6400" width="9.140625" style="100"/>
    <col min="6401" max="6401" width="4.5703125" style="100" customWidth="1"/>
    <col min="6402" max="6402" width="20" style="100" customWidth="1"/>
    <col min="6403" max="6404" width="11.85546875" style="100" customWidth="1"/>
    <col min="6405" max="6405" width="12.7109375" style="100" customWidth="1"/>
    <col min="6406" max="6414" width="11.85546875" style="100" customWidth="1"/>
    <col min="6415" max="6656" width="9.140625" style="100"/>
    <col min="6657" max="6657" width="4.5703125" style="100" customWidth="1"/>
    <col min="6658" max="6658" width="20" style="100" customWidth="1"/>
    <col min="6659" max="6660" width="11.85546875" style="100" customWidth="1"/>
    <col min="6661" max="6661" width="12.7109375" style="100" customWidth="1"/>
    <col min="6662" max="6670" width="11.85546875" style="100" customWidth="1"/>
    <col min="6671" max="6912" width="9.140625" style="100"/>
    <col min="6913" max="6913" width="4.5703125" style="100" customWidth="1"/>
    <col min="6914" max="6914" width="20" style="100" customWidth="1"/>
    <col min="6915" max="6916" width="11.85546875" style="100" customWidth="1"/>
    <col min="6917" max="6917" width="12.7109375" style="100" customWidth="1"/>
    <col min="6918" max="6926" width="11.85546875" style="100" customWidth="1"/>
    <col min="6927" max="7168" width="9.140625" style="100"/>
    <col min="7169" max="7169" width="4.5703125" style="100" customWidth="1"/>
    <col min="7170" max="7170" width="20" style="100" customWidth="1"/>
    <col min="7171" max="7172" width="11.85546875" style="100" customWidth="1"/>
    <col min="7173" max="7173" width="12.7109375" style="100" customWidth="1"/>
    <col min="7174" max="7182" width="11.85546875" style="100" customWidth="1"/>
    <col min="7183" max="7424" width="9.140625" style="100"/>
    <col min="7425" max="7425" width="4.5703125" style="100" customWidth="1"/>
    <col min="7426" max="7426" width="20" style="100" customWidth="1"/>
    <col min="7427" max="7428" width="11.85546875" style="100" customWidth="1"/>
    <col min="7429" max="7429" width="12.7109375" style="100" customWidth="1"/>
    <col min="7430" max="7438" width="11.85546875" style="100" customWidth="1"/>
    <col min="7439" max="7680" width="9.140625" style="100"/>
    <col min="7681" max="7681" width="4.5703125" style="100" customWidth="1"/>
    <col min="7682" max="7682" width="20" style="100" customWidth="1"/>
    <col min="7683" max="7684" width="11.85546875" style="100" customWidth="1"/>
    <col min="7685" max="7685" width="12.7109375" style="100" customWidth="1"/>
    <col min="7686" max="7694" width="11.85546875" style="100" customWidth="1"/>
    <col min="7695" max="7936" width="9.140625" style="100"/>
    <col min="7937" max="7937" width="4.5703125" style="100" customWidth="1"/>
    <col min="7938" max="7938" width="20" style="100" customWidth="1"/>
    <col min="7939" max="7940" width="11.85546875" style="100" customWidth="1"/>
    <col min="7941" max="7941" width="12.7109375" style="100" customWidth="1"/>
    <col min="7942" max="7950" width="11.85546875" style="100" customWidth="1"/>
    <col min="7951" max="8192" width="9.140625" style="100"/>
    <col min="8193" max="8193" width="4.5703125" style="100" customWidth="1"/>
    <col min="8194" max="8194" width="20" style="100" customWidth="1"/>
    <col min="8195" max="8196" width="11.85546875" style="100" customWidth="1"/>
    <col min="8197" max="8197" width="12.7109375" style="100" customWidth="1"/>
    <col min="8198" max="8206" width="11.85546875" style="100" customWidth="1"/>
    <col min="8207" max="8448" width="9.140625" style="100"/>
    <col min="8449" max="8449" width="4.5703125" style="100" customWidth="1"/>
    <col min="8450" max="8450" width="20" style="100" customWidth="1"/>
    <col min="8451" max="8452" width="11.85546875" style="100" customWidth="1"/>
    <col min="8453" max="8453" width="12.7109375" style="100" customWidth="1"/>
    <col min="8454" max="8462" width="11.85546875" style="100" customWidth="1"/>
    <col min="8463" max="8704" width="9.140625" style="100"/>
    <col min="8705" max="8705" width="4.5703125" style="100" customWidth="1"/>
    <col min="8706" max="8706" width="20" style="100" customWidth="1"/>
    <col min="8707" max="8708" width="11.85546875" style="100" customWidth="1"/>
    <col min="8709" max="8709" width="12.7109375" style="100" customWidth="1"/>
    <col min="8710" max="8718" width="11.85546875" style="100" customWidth="1"/>
    <col min="8719" max="8960" width="9.140625" style="100"/>
    <col min="8961" max="8961" width="4.5703125" style="100" customWidth="1"/>
    <col min="8962" max="8962" width="20" style="100" customWidth="1"/>
    <col min="8963" max="8964" width="11.85546875" style="100" customWidth="1"/>
    <col min="8965" max="8965" width="12.7109375" style="100" customWidth="1"/>
    <col min="8966" max="8974" width="11.85546875" style="100" customWidth="1"/>
    <col min="8975" max="9216" width="9.140625" style="100"/>
    <col min="9217" max="9217" width="4.5703125" style="100" customWidth="1"/>
    <col min="9218" max="9218" width="20" style="100" customWidth="1"/>
    <col min="9219" max="9220" width="11.85546875" style="100" customWidth="1"/>
    <col min="9221" max="9221" width="12.7109375" style="100" customWidth="1"/>
    <col min="9222" max="9230" width="11.85546875" style="100" customWidth="1"/>
    <col min="9231" max="9472" width="9.140625" style="100"/>
    <col min="9473" max="9473" width="4.5703125" style="100" customWidth="1"/>
    <col min="9474" max="9474" width="20" style="100" customWidth="1"/>
    <col min="9475" max="9476" width="11.85546875" style="100" customWidth="1"/>
    <col min="9477" max="9477" width="12.7109375" style="100" customWidth="1"/>
    <col min="9478" max="9486" width="11.85546875" style="100" customWidth="1"/>
    <col min="9487" max="9728" width="9.140625" style="100"/>
    <col min="9729" max="9729" width="4.5703125" style="100" customWidth="1"/>
    <col min="9730" max="9730" width="20" style="100" customWidth="1"/>
    <col min="9731" max="9732" width="11.85546875" style="100" customWidth="1"/>
    <col min="9733" max="9733" width="12.7109375" style="100" customWidth="1"/>
    <col min="9734" max="9742" width="11.85546875" style="100" customWidth="1"/>
    <col min="9743" max="9984" width="9.140625" style="100"/>
    <col min="9985" max="9985" width="4.5703125" style="100" customWidth="1"/>
    <col min="9986" max="9986" width="20" style="100" customWidth="1"/>
    <col min="9987" max="9988" width="11.85546875" style="100" customWidth="1"/>
    <col min="9989" max="9989" width="12.7109375" style="100" customWidth="1"/>
    <col min="9990" max="9998" width="11.85546875" style="100" customWidth="1"/>
    <col min="9999" max="10240" width="9.140625" style="100"/>
    <col min="10241" max="10241" width="4.5703125" style="100" customWidth="1"/>
    <col min="10242" max="10242" width="20" style="100" customWidth="1"/>
    <col min="10243" max="10244" width="11.85546875" style="100" customWidth="1"/>
    <col min="10245" max="10245" width="12.7109375" style="100" customWidth="1"/>
    <col min="10246" max="10254" width="11.85546875" style="100" customWidth="1"/>
    <col min="10255" max="10496" width="9.140625" style="100"/>
    <col min="10497" max="10497" width="4.5703125" style="100" customWidth="1"/>
    <col min="10498" max="10498" width="20" style="100" customWidth="1"/>
    <col min="10499" max="10500" width="11.85546875" style="100" customWidth="1"/>
    <col min="10501" max="10501" width="12.7109375" style="100" customWidth="1"/>
    <col min="10502" max="10510" width="11.85546875" style="100" customWidth="1"/>
    <col min="10511" max="10752" width="9.140625" style="100"/>
    <col min="10753" max="10753" width="4.5703125" style="100" customWidth="1"/>
    <col min="10754" max="10754" width="20" style="100" customWidth="1"/>
    <col min="10755" max="10756" width="11.85546875" style="100" customWidth="1"/>
    <col min="10757" max="10757" width="12.7109375" style="100" customWidth="1"/>
    <col min="10758" max="10766" width="11.85546875" style="100" customWidth="1"/>
    <col min="10767" max="11008" width="9.140625" style="100"/>
    <col min="11009" max="11009" width="4.5703125" style="100" customWidth="1"/>
    <col min="11010" max="11010" width="20" style="100" customWidth="1"/>
    <col min="11011" max="11012" width="11.85546875" style="100" customWidth="1"/>
    <col min="11013" max="11013" width="12.7109375" style="100" customWidth="1"/>
    <col min="11014" max="11022" width="11.85546875" style="100" customWidth="1"/>
    <col min="11023" max="11264" width="9.140625" style="100"/>
    <col min="11265" max="11265" width="4.5703125" style="100" customWidth="1"/>
    <col min="11266" max="11266" width="20" style="100" customWidth="1"/>
    <col min="11267" max="11268" width="11.85546875" style="100" customWidth="1"/>
    <col min="11269" max="11269" width="12.7109375" style="100" customWidth="1"/>
    <col min="11270" max="11278" width="11.85546875" style="100" customWidth="1"/>
    <col min="11279" max="11520" width="9.140625" style="100"/>
    <col min="11521" max="11521" width="4.5703125" style="100" customWidth="1"/>
    <col min="11522" max="11522" width="20" style="100" customWidth="1"/>
    <col min="11523" max="11524" width="11.85546875" style="100" customWidth="1"/>
    <col min="11525" max="11525" width="12.7109375" style="100" customWidth="1"/>
    <col min="11526" max="11534" width="11.85546875" style="100" customWidth="1"/>
    <col min="11535" max="11776" width="9.140625" style="100"/>
    <col min="11777" max="11777" width="4.5703125" style="100" customWidth="1"/>
    <col min="11778" max="11778" width="20" style="100" customWidth="1"/>
    <col min="11779" max="11780" width="11.85546875" style="100" customWidth="1"/>
    <col min="11781" max="11781" width="12.7109375" style="100" customWidth="1"/>
    <col min="11782" max="11790" width="11.85546875" style="100" customWidth="1"/>
    <col min="11791" max="12032" width="9.140625" style="100"/>
    <col min="12033" max="12033" width="4.5703125" style="100" customWidth="1"/>
    <col min="12034" max="12034" width="20" style="100" customWidth="1"/>
    <col min="12035" max="12036" width="11.85546875" style="100" customWidth="1"/>
    <col min="12037" max="12037" width="12.7109375" style="100" customWidth="1"/>
    <col min="12038" max="12046" width="11.85546875" style="100" customWidth="1"/>
    <col min="12047" max="12288" width="9.140625" style="100"/>
    <col min="12289" max="12289" width="4.5703125" style="100" customWidth="1"/>
    <col min="12290" max="12290" width="20" style="100" customWidth="1"/>
    <col min="12291" max="12292" width="11.85546875" style="100" customWidth="1"/>
    <col min="12293" max="12293" width="12.7109375" style="100" customWidth="1"/>
    <col min="12294" max="12302" width="11.85546875" style="100" customWidth="1"/>
    <col min="12303" max="12544" width="9.140625" style="100"/>
    <col min="12545" max="12545" width="4.5703125" style="100" customWidth="1"/>
    <col min="12546" max="12546" width="20" style="100" customWidth="1"/>
    <col min="12547" max="12548" width="11.85546875" style="100" customWidth="1"/>
    <col min="12549" max="12549" width="12.7109375" style="100" customWidth="1"/>
    <col min="12550" max="12558" width="11.85546875" style="100" customWidth="1"/>
    <col min="12559" max="12800" width="9.140625" style="100"/>
    <col min="12801" max="12801" width="4.5703125" style="100" customWidth="1"/>
    <col min="12802" max="12802" width="20" style="100" customWidth="1"/>
    <col min="12803" max="12804" width="11.85546875" style="100" customWidth="1"/>
    <col min="12805" max="12805" width="12.7109375" style="100" customWidth="1"/>
    <col min="12806" max="12814" width="11.85546875" style="100" customWidth="1"/>
    <col min="12815" max="13056" width="9.140625" style="100"/>
    <col min="13057" max="13057" width="4.5703125" style="100" customWidth="1"/>
    <col min="13058" max="13058" width="20" style="100" customWidth="1"/>
    <col min="13059" max="13060" width="11.85546875" style="100" customWidth="1"/>
    <col min="13061" max="13061" width="12.7109375" style="100" customWidth="1"/>
    <col min="13062" max="13070" width="11.85546875" style="100" customWidth="1"/>
    <col min="13071" max="13312" width="9.140625" style="100"/>
    <col min="13313" max="13313" width="4.5703125" style="100" customWidth="1"/>
    <col min="13314" max="13314" width="20" style="100" customWidth="1"/>
    <col min="13315" max="13316" width="11.85546875" style="100" customWidth="1"/>
    <col min="13317" max="13317" width="12.7109375" style="100" customWidth="1"/>
    <col min="13318" max="13326" width="11.85546875" style="100" customWidth="1"/>
    <col min="13327" max="13568" width="9.140625" style="100"/>
    <col min="13569" max="13569" width="4.5703125" style="100" customWidth="1"/>
    <col min="13570" max="13570" width="20" style="100" customWidth="1"/>
    <col min="13571" max="13572" width="11.85546875" style="100" customWidth="1"/>
    <col min="13573" max="13573" width="12.7109375" style="100" customWidth="1"/>
    <col min="13574" max="13582" width="11.85546875" style="100" customWidth="1"/>
    <col min="13583" max="13824" width="9.140625" style="100"/>
    <col min="13825" max="13825" width="4.5703125" style="100" customWidth="1"/>
    <col min="13826" max="13826" width="20" style="100" customWidth="1"/>
    <col min="13827" max="13828" width="11.85546875" style="100" customWidth="1"/>
    <col min="13829" max="13829" width="12.7109375" style="100" customWidth="1"/>
    <col min="13830" max="13838" width="11.85546875" style="100" customWidth="1"/>
    <col min="13839" max="14080" width="9.140625" style="100"/>
    <col min="14081" max="14081" width="4.5703125" style="100" customWidth="1"/>
    <col min="14082" max="14082" width="20" style="100" customWidth="1"/>
    <col min="14083" max="14084" width="11.85546875" style="100" customWidth="1"/>
    <col min="14085" max="14085" width="12.7109375" style="100" customWidth="1"/>
    <col min="14086" max="14094" width="11.85546875" style="100" customWidth="1"/>
    <col min="14095" max="14336" width="9.140625" style="100"/>
    <col min="14337" max="14337" width="4.5703125" style="100" customWidth="1"/>
    <col min="14338" max="14338" width="20" style="100" customWidth="1"/>
    <col min="14339" max="14340" width="11.85546875" style="100" customWidth="1"/>
    <col min="14341" max="14341" width="12.7109375" style="100" customWidth="1"/>
    <col min="14342" max="14350" width="11.85546875" style="100" customWidth="1"/>
    <col min="14351" max="14592" width="9.140625" style="100"/>
    <col min="14593" max="14593" width="4.5703125" style="100" customWidth="1"/>
    <col min="14594" max="14594" width="20" style="100" customWidth="1"/>
    <col min="14595" max="14596" width="11.85546875" style="100" customWidth="1"/>
    <col min="14597" max="14597" width="12.7109375" style="100" customWidth="1"/>
    <col min="14598" max="14606" width="11.85546875" style="100" customWidth="1"/>
    <col min="14607" max="14848" width="9.140625" style="100"/>
    <col min="14849" max="14849" width="4.5703125" style="100" customWidth="1"/>
    <col min="14850" max="14850" width="20" style="100" customWidth="1"/>
    <col min="14851" max="14852" width="11.85546875" style="100" customWidth="1"/>
    <col min="14853" max="14853" width="12.7109375" style="100" customWidth="1"/>
    <col min="14854" max="14862" width="11.85546875" style="100" customWidth="1"/>
    <col min="14863" max="15104" width="9.140625" style="100"/>
    <col min="15105" max="15105" width="4.5703125" style="100" customWidth="1"/>
    <col min="15106" max="15106" width="20" style="100" customWidth="1"/>
    <col min="15107" max="15108" width="11.85546875" style="100" customWidth="1"/>
    <col min="15109" max="15109" width="12.7109375" style="100" customWidth="1"/>
    <col min="15110" max="15118" width="11.85546875" style="100" customWidth="1"/>
    <col min="15119" max="15360" width="9.140625" style="100"/>
    <col min="15361" max="15361" width="4.5703125" style="100" customWidth="1"/>
    <col min="15362" max="15362" width="20" style="100" customWidth="1"/>
    <col min="15363" max="15364" width="11.85546875" style="100" customWidth="1"/>
    <col min="15365" max="15365" width="12.7109375" style="100" customWidth="1"/>
    <col min="15366" max="15374" width="11.85546875" style="100" customWidth="1"/>
    <col min="15375" max="15616" width="9.140625" style="100"/>
    <col min="15617" max="15617" width="4.5703125" style="100" customWidth="1"/>
    <col min="15618" max="15618" width="20" style="100" customWidth="1"/>
    <col min="15619" max="15620" width="11.85546875" style="100" customWidth="1"/>
    <col min="15621" max="15621" width="12.7109375" style="100" customWidth="1"/>
    <col min="15622" max="15630" width="11.85546875" style="100" customWidth="1"/>
    <col min="15631" max="15872" width="9.140625" style="100"/>
    <col min="15873" max="15873" width="4.5703125" style="100" customWidth="1"/>
    <col min="15874" max="15874" width="20" style="100" customWidth="1"/>
    <col min="15875" max="15876" width="11.85546875" style="100" customWidth="1"/>
    <col min="15877" max="15877" width="12.7109375" style="100" customWidth="1"/>
    <col min="15878" max="15886" width="11.85546875" style="100" customWidth="1"/>
    <col min="15887" max="16128" width="9.140625" style="100"/>
    <col min="16129" max="16129" width="4.5703125" style="100" customWidth="1"/>
    <col min="16130" max="16130" width="20" style="100" customWidth="1"/>
    <col min="16131" max="16132" width="11.85546875" style="100" customWidth="1"/>
    <col min="16133" max="16133" width="12.7109375" style="100" customWidth="1"/>
    <col min="16134" max="16142" width="11.85546875" style="100" customWidth="1"/>
    <col min="16143" max="16384" width="9.140625" style="100"/>
  </cols>
  <sheetData>
    <row r="1" spans="1:16" ht="19.5" customHeight="1">
      <c r="A1" s="232"/>
      <c r="B1" s="233"/>
      <c r="C1" s="234" t="s">
        <v>204</v>
      </c>
      <c r="D1" s="232"/>
      <c r="E1" s="232"/>
      <c r="F1" s="232"/>
      <c r="G1" s="232"/>
      <c r="H1" s="232"/>
      <c r="I1" s="234" t="str">
        <f>C1</f>
        <v>Table H2: Actual Population 2011</v>
      </c>
      <c r="J1" s="232"/>
      <c r="K1" s="232"/>
      <c r="L1" s="232"/>
      <c r="M1" s="232"/>
      <c r="N1" s="232"/>
    </row>
    <row r="2" spans="1:16" ht="15.75" customHeight="1">
      <c r="A2" s="232"/>
      <c r="B2" s="232"/>
      <c r="C2" s="235" t="s">
        <v>79</v>
      </c>
      <c r="D2" s="236"/>
      <c r="E2" s="236"/>
      <c r="F2" s="236"/>
      <c r="G2" s="236"/>
      <c r="H2" s="236"/>
      <c r="I2" s="235" t="str">
        <f>C2</f>
        <v>Scheduled Caste</v>
      </c>
      <c r="J2" s="236"/>
      <c r="K2" s="236"/>
      <c r="L2" s="236"/>
      <c r="M2" s="236"/>
      <c r="N2" s="236"/>
    </row>
    <row r="3" spans="1:16" ht="18.75" customHeight="1">
      <c r="A3" s="321" t="s">
        <v>67</v>
      </c>
      <c r="B3" s="323" t="s">
        <v>65</v>
      </c>
      <c r="C3" s="318" t="s">
        <v>122</v>
      </c>
      <c r="D3" s="319"/>
      <c r="E3" s="320"/>
      <c r="F3" s="318" t="s">
        <v>123</v>
      </c>
      <c r="G3" s="319"/>
      <c r="H3" s="320"/>
      <c r="I3" s="318" t="s">
        <v>124</v>
      </c>
      <c r="J3" s="319"/>
      <c r="K3" s="320"/>
      <c r="L3" s="318" t="s">
        <v>125</v>
      </c>
      <c r="M3" s="319"/>
      <c r="N3" s="320"/>
      <c r="O3" s="118"/>
      <c r="P3" s="118"/>
    </row>
    <row r="4" spans="1:16" s="118" customFormat="1" ht="18.75" customHeight="1">
      <c r="A4" s="322"/>
      <c r="B4" s="324"/>
      <c r="C4" s="237" t="s">
        <v>126</v>
      </c>
      <c r="D4" s="237" t="s">
        <v>127</v>
      </c>
      <c r="E4" s="237" t="s">
        <v>15</v>
      </c>
      <c r="F4" s="237" t="s">
        <v>126</v>
      </c>
      <c r="G4" s="237" t="s">
        <v>127</v>
      </c>
      <c r="H4" s="237" t="s">
        <v>15</v>
      </c>
      <c r="I4" s="237" t="s">
        <v>126</v>
      </c>
      <c r="J4" s="237" t="s">
        <v>127</v>
      </c>
      <c r="K4" s="237" t="s">
        <v>15</v>
      </c>
      <c r="L4" s="237" t="s">
        <v>126</v>
      </c>
      <c r="M4" s="237" t="s">
        <v>127</v>
      </c>
      <c r="N4" s="237" t="s">
        <v>15</v>
      </c>
    </row>
    <row r="5" spans="1:16" s="119" customFormat="1" ht="10.5" customHeight="1">
      <c r="A5" s="238">
        <v>1</v>
      </c>
      <c r="B5" s="239">
        <v>2</v>
      </c>
      <c r="C5" s="238">
        <v>3</v>
      </c>
      <c r="D5" s="239">
        <v>4</v>
      </c>
      <c r="E5" s="238">
        <v>5</v>
      </c>
      <c r="F5" s="239">
        <v>6</v>
      </c>
      <c r="G5" s="238">
        <v>7</v>
      </c>
      <c r="H5" s="239">
        <v>8</v>
      </c>
      <c r="I5" s="238">
        <v>9</v>
      </c>
      <c r="J5" s="239">
        <v>10</v>
      </c>
      <c r="K5" s="238">
        <v>11</v>
      </c>
      <c r="L5" s="239">
        <v>12</v>
      </c>
      <c r="M5" s="238">
        <v>13</v>
      </c>
      <c r="N5" s="239">
        <v>14</v>
      </c>
    </row>
    <row r="6" spans="1:16" ht="18.75" customHeight="1">
      <c r="A6" s="109">
        <v>1</v>
      </c>
      <c r="B6" s="110" t="s">
        <v>16</v>
      </c>
      <c r="C6" s="111">
        <v>667020</v>
      </c>
      <c r="D6" s="111">
        <v>646139</v>
      </c>
      <c r="E6" s="111">
        <v>1313159</v>
      </c>
      <c r="F6" s="111">
        <v>431820</v>
      </c>
      <c r="G6" s="111">
        <v>431111</v>
      </c>
      <c r="H6" s="111">
        <v>862931</v>
      </c>
      <c r="I6" s="111">
        <v>296126</v>
      </c>
      <c r="J6" s="111">
        <v>285091</v>
      </c>
      <c r="K6" s="111">
        <v>581217</v>
      </c>
      <c r="L6" s="111">
        <v>273649</v>
      </c>
      <c r="M6" s="111">
        <v>250050</v>
      </c>
      <c r="N6" s="111">
        <v>523699</v>
      </c>
    </row>
    <row r="7" spans="1:16" ht="18.75" customHeight="1">
      <c r="A7" s="109">
        <v>2</v>
      </c>
      <c r="B7" s="110" t="s">
        <v>17</v>
      </c>
      <c r="C7" s="111">
        <v>0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</row>
    <row r="8" spans="1:16" ht="18.75" customHeight="1">
      <c r="A8" s="109">
        <v>3</v>
      </c>
      <c r="B8" s="110" t="s">
        <v>48</v>
      </c>
      <c r="C8" s="111">
        <v>119829</v>
      </c>
      <c r="D8" s="111">
        <v>115296</v>
      </c>
      <c r="E8" s="111">
        <v>235125</v>
      </c>
      <c r="F8" s="111">
        <v>75128</v>
      </c>
      <c r="G8" s="111">
        <v>72243</v>
      </c>
      <c r="H8" s="111">
        <v>147371</v>
      </c>
      <c r="I8" s="111">
        <v>50432</v>
      </c>
      <c r="J8" s="111">
        <v>48666</v>
      </c>
      <c r="K8" s="111">
        <v>99098</v>
      </c>
      <c r="L8" s="111">
        <v>46436</v>
      </c>
      <c r="M8" s="111">
        <v>41249</v>
      </c>
      <c r="N8" s="111">
        <v>87685</v>
      </c>
    </row>
    <row r="9" spans="1:16" ht="18.75" customHeight="1">
      <c r="A9" s="109">
        <v>4</v>
      </c>
      <c r="B9" s="114" t="s">
        <v>49</v>
      </c>
      <c r="C9" s="111">
        <v>1446364</v>
      </c>
      <c r="D9" s="111">
        <v>1350102</v>
      </c>
      <c r="E9" s="111">
        <v>2796466</v>
      </c>
      <c r="F9" s="111">
        <v>661013</v>
      </c>
      <c r="G9" s="111">
        <v>580363</v>
      </c>
      <c r="H9" s="111">
        <v>1241376</v>
      </c>
      <c r="I9" s="111">
        <v>386092</v>
      </c>
      <c r="J9" s="111">
        <v>300296</v>
      </c>
      <c r="K9" s="111">
        <v>686388</v>
      </c>
      <c r="L9" s="111">
        <v>278891</v>
      </c>
      <c r="M9" s="111">
        <v>196743</v>
      </c>
      <c r="N9" s="111">
        <v>475634</v>
      </c>
    </row>
    <row r="10" spans="1:16" ht="18.75" customHeight="1">
      <c r="A10" s="109">
        <v>5</v>
      </c>
      <c r="B10" s="114" t="s">
        <v>19</v>
      </c>
      <c r="C10" s="111">
        <v>196310</v>
      </c>
      <c r="D10" s="111">
        <v>190822</v>
      </c>
      <c r="E10" s="111">
        <v>387132</v>
      </c>
      <c r="F10" s="111">
        <v>116321</v>
      </c>
      <c r="G10" s="111">
        <v>114640</v>
      </c>
      <c r="H10" s="111">
        <v>230961</v>
      </c>
      <c r="I10" s="111">
        <v>75660</v>
      </c>
      <c r="J10" s="111">
        <v>73155</v>
      </c>
      <c r="K10" s="111">
        <v>148815</v>
      </c>
      <c r="L10" s="111">
        <v>70692</v>
      </c>
      <c r="M10" s="111">
        <v>67467</v>
      </c>
      <c r="N10" s="111">
        <v>138159</v>
      </c>
    </row>
    <row r="11" spans="1:16" ht="18.75" customHeight="1">
      <c r="A11" s="109">
        <v>6</v>
      </c>
      <c r="B11" s="110" t="s">
        <v>20</v>
      </c>
      <c r="C11" s="111">
        <v>1029</v>
      </c>
      <c r="D11" s="111">
        <v>1002</v>
      </c>
      <c r="E11" s="111">
        <v>2031</v>
      </c>
      <c r="F11" s="111">
        <v>600</v>
      </c>
      <c r="G11" s="111">
        <v>614</v>
      </c>
      <c r="H11" s="111">
        <v>1214</v>
      </c>
      <c r="I11" s="111">
        <v>434</v>
      </c>
      <c r="J11" s="111">
        <v>401</v>
      </c>
      <c r="K11" s="111">
        <v>835</v>
      </c>
      <c r="L11" s="111">
        <v>409</v>
      </c>
      <c r="M11" s="111">
        <v>415</v>
      </c>
      <c r="N11" s="111">
        <v>824</v>
      </c>
    </row>
    <row r="12" spans="1:16" ht="18.75" customHeight="1">
      <c r="A12" s="109">
        <v>7</v>
      </c>
      <c r="B12" s="110" t="s">
        <v>21</v>
      </c>
      <c r="C12" s="111">
        <v>211946</v>
      </c>
      <c r="D12" s="111">
        <v>186196</v>
      </c>
      <c r="E12" s="111">
        <v>398142</v>
      </c>
      <c r="F12" s="111">
        <v>136071</v>
      </c>
      <c r="G12" s="111">
        <v>121501</v>
      </c>
      <c r="H12" s="111">
        <v>257572</v>
      </c>
      <c r="I12" s="111">
        <v>91061</v>
      </c>
      <c r="J12" s="111">
        <v>80851</v>
      </c>
      <c r="K12" s="111">
        <v>171912</v>
      </c>
      <c r="L12" s="111">
        <v>87610</v>
      </c>
      <c r="M12" s="111">
        <v>78468</v>
      </c>
      <c r="N12" s="111">
        <v>166078</v>
      </c>
    </row>
    <row r="13" spans="1:16" ht="18.75" customHeight="1">
      <c r="A13" s="109">
        <v>8</v>
      </c>
      <c r="B13" s="110" t="s">
        <v>22</v>
      </c>
      <c r="C13" s="111">
        <v>307421</v>
      </c>
      <c r="D13" s="111">
        <v>264133</v>
      </c>
      <c r="E13" s="111">
        <v>571554</v>
      </c>
      <c r="F13" s="111">
        <v>188012</v>
      </c>
      <c r="G13" s="111">
        <v>160816</v>
      </c>
      <c r="H13" s="111">
        <v>348828</v>
      </c>
      <c r="I13" s="111">
        <v>128092</v>
      </c>
      <c r="J13" s="111">
        <v>110718</v>
      </c>
      <c r="K13" s="111">
        <v>238810</v>
      </c>
      <c r="L13" s="111">
        <v>124027</v>
      </c>
      <c r="M13" s="111">
        <v>101580</v>
      </c>
      <c r="N13" s="111">
        <v>225607</v>
      </c>
    </row>
    <row r="14" spans="1:16" ht="18.75" customHeight="1">
      <c r="A14" s="109">
        <v>9</v>
      </c>
      <c r="B14" s="110" t="s">
        <v>50</v>
      </c>
      <c r="C14" s="111">
        <v>86456</v>
      </c>
      <c r="D14" s="111">
        <v>80596</v>
      </c>
      <c r="E14" s="111">
        <v>167052</v>
      </c>
      <c r="F14" s="111">
        <v>53039</v>
      </c>
      <c r="G14" s="111">
        <v>49329</v>
      </c>
      <c r="H14" s="111">
        <v>102368</v>
      </c>
      <c r="I14" s="111">
        <v>35009</v>
      </c>
      <c r="J14" s="111">
        <v>33179</v>
      </c>
      <c r="K14" s="111">
        <v>68188</v>
      </c>
      <c r="L14" s="111">
        <v>34563</v>
      </c>
      <c r="M14" s="111">
        <v>31825</v>
      </c>
      <c r="N14" s="111">
        <v>66388</v>
      </c>
    </row>
    <row r="15" spans="1:16" ht="18.75" customHeight="1">
      <c r="A15" s="109">
        <v>10</v>
      </c>
      <c r="B15" s="110" t="s">
        <v>51</v>
      </c>
      <c r="C15" s="111">
        <v>51416</v>
      </c>
      <c r="D15" s="111">
        <v>44160</v>
      </c>
      <c r="E15" s="111">
        <v>95576</v>
      </c>
      <c r="F15" s="111">
        <v>32184</v>
      </c>
      <c r="G15" s="111">
        <v>28672</v>
      </c>
      <c r="H15" s="111">
        <v>60856</v>
      </c>
      <c r="I15" s="111">
        <v>21236</v>
      </c>
      <c r="J15" s="111">
        <v>19009</v>
      </c>
      <c r="K15" s="111">
        <v>40245</v>
      </c>
      <c r="L15" s="111">
        <v>20579</v>
      </c>
      <c r="M15" s="111">
        <v>17959</v>
      </c>
      <c r="N15" s="111">
        <v>38538</v>
      </c>
    </row>
    <row r="16" spans="1:16" ht="18.75" customHeight="1">
      <c r="A16" s="109">
        <v>11</v>
      </c>
      <c r="B16" s="110" t="s">
        <v>52</v>
      </c>
      <c r="C16" s="111">
        <v>294863</v>
      </c>
      <c r="D16" s="111">
        <v>285481</v>
      </c>
      <c r="E16" s="111">
        <v>580344</v>
      </c>
      <c r="F16" s="111">
        <v>154228</v>
      </c>
      <c r="G16" s="111">
        <v>144895</v>
      </c>
      <c r="H16" s="111">
        <v>299123</v>
      </c>
      <c r="I16" s="111">
        <v>99792</v>
      </c>
      <c r="J16" s="111">
        <v>86772</v>
      </c>
      <c r="K16" s="111">
        <v>186564</v>
      </c>
      <c r="L16" s="111">
        <v>77330</v>
      </c>
      <c r="M16" s="111">
        <v>61315</v>
      </c>
      <c r="N16" s="111">
        <v>138645</v>
      </c>
    </row>
    <row r="17" spans="1:14" ht="18.75" customHeight="1">
      <c r="A17" s="109">
        <v>12</v>
      </c>
      <c r="B17" s="110" t="s">
        <v>25</v>
      </c>
      <c r="C17" s="111">
        <v>527711</v>
      </c>
      <c r="D17" s="111">
        <v>507336</v>
      </c>
      <c r="E17" s="111">
        <v>1035047</v>
      </c>
      <c r="F17" s="111">
        <v>331736</v>
      </c>
      <c r="G17" s="111">
        <v>317157</v>
      </c>
      <c r="H17" s="111">
        <v>648893</v>
      </c>
      <c r="I17" s="111">
        <v>229579</v>
      </c>
      <c r="J17" s="111">
        <v>207023</v>
      </c>
      <c r="K17" s="111">
        <v>436602</v>
      </c>
      <c r="L17" s="111">
        <v>215262</v>
      </c>
      <c r="M17" s="111">
        <v>189554</v>
      </c>
      <c r="N17" s="111">
        <v>404816</v>
      </c>
    </row>
    <row r="18" spans="1:14" ht="18.75" customHeight="1">
      <c r="A18" s="109">
        <v>13</v>
      </c>
      <c r="B18" s="110" t="s">
        <v>53</v>
      </c>
      <c r="C18" s="111">
        <v>113244</v>
      </c>
      <c r="D18" s="111">
        <v>109063</v>
      </c>
      <c r="E18" s="111">
        <v>222307</v>
      </c>
      <c r="F18" s="111">
        <v>77369</v>
      </c>
      <c r="G18" s="111">
        <v>74269</v>
      </c>
      <c r="H18" s="111">
        <v>151638</v>
      </c>
      <c r="I18" s="111">
        <v>50367</v>
      </c>
      <c r="J18" s="111">
        <v>48042</v>
      </c>
      <c r="K18" s="111">
        <v>98409</v>
      </c>
      <c r="L18" s="111">
        <v>44737</v>
      </c>
      <c r="M18" s="111">
        <v>43815</v>
      </c>
      <c r="N18" s="111">
        <v>88552</v>
      </c>
    </row>
    <row r="19" spans="1:14" ht="18.75" customHeight="1">
      <c r="A19" s="109">
        <v>14</v>
      </c>
      <c r="B19" s="110" t="s">
        <v>27</v>
      </c>
      <c r="C19" s="111">
        <v>729590</v>
      </c>
      <c r="D19" s="111">
        <v>671885</v>
      </c>
      <c r="E19" s="111">
        <v>1401475</v>
      </c>
      <c r="F19" s="111">
        <v>428749</v>
      </c>
      <c r="G19" s="111">
        <v>399041</v>
      </c>
      <c r="H19" s="111">
        <v>827790</v>
      </c>
      <c r="I19" s="111">
        <v>280390</v>
      </c>
      <c r="J19" s="111">
        <v>246021</v>
      </c>
      <c r="K19" s="111">
        <v>526411</v>
      </c>
      <c r="L19" s="111">
        <v>252585</v>
      </c>
      <c r="M19" s="111">
        <v>206420</v>
      </c>
      <c r="N19" s="111">
        <v>459005</v>
      </c>
    </row>
    <row r="20" spans="1:14" ht="18.75" customHeight="1">
      <c r="A20" s="109">
        <v>15</v>
      </c>
      <c r="B20" s="110" t="s">
        <v>28</v>
      </c>
      <c r="C20" s="111">
        <v>640564</v>
      </c>
      <c r="D20" s="111">
        <v>599022</v>
      </c>
      <c r="E20" s="111">
        <v>1239586</v>
      </c>
      <c r="F20" s="111">
        <v>406734</v>
      </c>
      <c r="G20" s="111">
        <v>378443</v>
      </c>
      <c r="H20" s="111">
        <v>785177</v>
      </c>
      <c r="I20" s="111">
        <v>272048</v>
      </c>
      <c r="J20" s="111">
        <v>246911</v>
      </c>
      <c r="K20" s="111">
        <v>518959</v>
      </c>
      <c r="L20" s="111">
        <v>271801</v>
      </c>
      <c r="M20" s="111">
        <v>233166</v>
      </c>
      <c r="N20" s="111">
        <v>504967</v>
      </c>
    </row>
    <row r="21" spans="1:14" ht="18.75" customHeight="1">
      <c r="A21" s="109">
        <v>16</v>
      </c>
      <c r="B21" s="110" t="s">
        <v>29</v>
      </c>
      <c r="C21" s="111">
        <v>5020</v>
      </c>
      <c r="D21" s="111">
        <v>4834</v>
      </c>
      <c r="E21" s="111">
        <v>9854</v>
      </c>
      <c r="F21" s="111">
        <v>3011</v>
      </c>
      <c r="G21" s="111">
        <v>2882</v>
      </c>
      <c r="H21" s="111">
        <v>5893</v>
      </c>
      <c r="I21" s="111">
        <v>1934</v>
      </c>
      <c r="J21" s="111">
        <v>1862</v>
      </c>
      <c r="K21" s="111">
        <v>3796</v>
      </c>
      <c r="L21" s="111">
        <v>1563</v>
      </c>
      <c r="M21" s="111">
        <v>1498</v>
      </c>
      <c r="N21" s="111">
        <v>3061</v>
      </c>
    </row>
    <row r="22" spans="1:14" ht="18.75" customHeight="1">
      <c r="A22" s="109">
        <v>17</v>
      </c>
      <c r="B22" s="110" t="s">
        <v>30</v>
      </c>
      <c r="C22" s="111">
        <v>1009</v>
      </c>
      <c r="D22" s="111">
        <v>910</v>
      </c>
      <c r="E22" s="111">
        <v>1919</v>
      </c>
      <c r="F22" s="111">
        <v>620</v>
      </c>
      <c r="G22" s="111">
        <v>600</v>
      </c>
      <c r="H22" s="111">
        <v>1220</v>
      </c>
      <c r="I22" s="111">
        <v>390</v>
      </c>
      <c r="J22" s="111">
        <v>346</v>
      </c>
      <c r="K22" s="111">
        <v>736</v>
      </c>
      <c r="L22" s="111">
        <v>402</v>
      </c>
      <c r="M22" s="111">
        <v>359</v>
      </c>
      <c r="N22" s="111">
        <v>761</v>
      </c>
    </row>
    <row r="23" spans="1:14" ht="18.75" customHeight="1">
      <c r="A23" s="109">
        <v>18</v>
      </c>
      <c r="B23" s="110" t="s">
        <v>31</v>
      </c>
      <c r="C23" s="111">
        <v>59</v>
      </c>
      <c r="D23" s="111">
        <v>54</v>
      </c>
      <c r="E23" s="111">
        <v>113</v>
      </c>
      <c r="F23" s="111">
        <v>35</v>
      </c>
      <c r="G23" s="111">
        <v>25</v>
      </c>
      <c r="H23" s="111">
        <v>60</v>
      </c>
      <c r="I23" s="111">
        <v>11</v>
      </c>
      <c r="J23" s="111">
        <v>20</v>
      </c>
      <c r="K23" s="111">
        <v>31</v>
      </c>
      <c r="L23" s="111">
        <v>18</v>
      </c>
      <c r="M23" s="111">
        <v>15</v>
      </c>
      <c r="N23" s="111">
        <v>33</v>
      </c>
    </row>
    <row r="24" spans="1:14" ht="18.75" customHeight="1">
      <c r="A24" s="109">
        <v>19</v>
      </c>
      <c r="B24" s="110" t="s">
        <v>54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</row>
    <row r="25" spans="1:14" ht="18.75" customHeight="1">
      <c r="A25" s="109">
        <v>20</v>
      </c>
      <c r="B25" s="110" t="s">
        <v>55</v>
      </c>
      <c r="C25" s="111">
        <v>373819</v>
      </c>
      <c r="D25" s="111">
        <v>360674</v>
      </c>
      <c r="E25" s="111">
        <v>734493</v>
      </c>
      <c r="F25" s="111">
        <v>237919</v>
      </c>
      <c r="G25" s="111">
        <v>233566</v>
      </c>
      <c r="H25" s="111">
        <v>471485</v>
      </c>
      <c r="I25" s="111">
        <v>153586</v>
      </c>
      <c r="J25" s="111">
        <v>156993</v>
      </c>
      <c r="K25" s="111">
        <v>310579</v>
      </c>
      <c r="L25" s="111">
        <v>130401</v>
      </c>
      <c r="M25" s="111">
        <v>132367</v>
      </c>
      <c r="N25" s="111">
        <v>262768</v>
      </c>
    </row>
    <row r="26" spans="1:14" ht="18.75" customHeight="1">
      <c r="A26" s="109">
        <v>21</v>
      </c>
      <c r="B26" s="110" t="s">
        <v>56</v>
      </c>
      <c r="C26" s="111">
        <v>482330</v>
      </c>
      <c r="D26" s="111">
        <v>413946</v>
      </c>
      <c r="E26" s="111">
        <v>896276</v>
      </c>
      <c r="F26" s="111">
        <v>301533</v>
      </c>
      <c r="G26" s="111">
        <v>257039</v>
      </c>
      <c r="H26" s="111">
        <v>558572</v>
      </c>
      <c r="I26" s="111">
        <v>213731</v>
      </c>
      <c r="J26" s="111">
        <v>185290</v>
      </c>
      <c r="K26" s="111">
        <v>399021</v>
      </c>
      <c r="L26" s="111">
        <v>212246</v>
      </c>
      <c r="M26" s="111">
        <v>178730</v>
      </c>
      <c r="N26" s="111">
        <v>390976</v>
      </c>
    </row>
    <row r="27" spans="1:14" ht="18.75" customHeight="1">
      <c r="A27" s="109">
        <v>22</v>
      </c>
      <c r="B27" s="110" t="s">
        <v>32</v>
      </c>
      <c r="C27" s="111">
        <v>836463</v>
      </c>
      <c r="D27" s="111">
        <v>752930</v>
      </c>
      <c r="E27" s="111">
        <v>1589393</v>
      </c>
      <c r="F27" s="111">
        <v>486424</v>
      </c>
      <c r="G27" s="111">
        <v>433713</v>
      </c>
      <c r="H27" s="111">
        <v>920137</v>
      </c>
      <c r="I27" s="111">
        <v>319552</v>
      </c>
      <c r="J27" s="111">
        <v>276397</v>
      </c>
      <c r="K27" s="111">
        <v>595949</v>
      </c>
      <c r="L27" s="111">
        <v>278976</v>
      </c>
      <c r="M27" s="111">
        <v>230802</v>
      </c>
      <c r="N27" s="111">
        <v>509778</v>
      </c>
    </row>
    <row r="28" spans="1:14" ht="18.75" customHeight="1">
      <c r="A28" s="109">
        <v>23</v>
      </c>
      <c r="B28" s="110" t="s">
        <v>33</v>
      </c>
      <c r="C28" s="111">
        <v>1566</v>
      </c>
      <c r="D28" s="111">
        <v>1501</v>
      </c>
      <c r="E28" s="111">
        <v>3067</v>
      </c>
      <c r="F28" s="111">
        <v>1021</v>
      </c>
      <c r="G28" s="111">
        <v>949</v>
      </c>
      <c r="H28" s="111">
        <v>1970</v>
      </c>
      <c r="I28" s="111">
        <v>664</v>
      </c>
      <c r="J28" s="111">
        <v>568</v>
      </c>
      <c r="K28" s="111">
        <v>1232</v>
      </c>
      <c r="L28" s="111">
        <v>654</v>
      </c>
      <c r="M28" s="111">
        <v>646</v>
      </c>
      <c r="N28" s="111">
        <v>1300</v>
      </c>
    </row>
    <row r="29" spans="1:14" ht="18.75" customHeight="1">
      <c r="A29" s="109">
        <v>24</v>
      </c>
      <c r="B29" s="110" t="s">
        <v>34</v>
      </c>
      <c r="C29" s="111">
        <v>648145</v>
      </c>
      <c r="D29" s="111">
        <v>622854</v>
      </c>
      <c r="E29" s="111">
        <v>1270999</v>
      </c>
      <c r="F29" s="111">
        <v>419011</v>
      </c>
      <c r="G29" s="111">
        <v>401905</v>
      </c>
      <c r="H29" s="111">
        <v>820916</v>
      </c>
      <c r="I29" s="111">
        <v>286062</v>
      </c>
      <c r="J29" s="111">
        <v>272022</v>
      </c>
      <c r="K29" s="111">
        <v>558084</v>
      </c>
      <c r="L29" s="111">
        <v>266855</v>
      </c>
      <c r="M29" s="111">
        <v>253194</v>
      </c>
      <c r="N29" s="111">
        <v>520049</v>
      </c>
    </row>
    <row r="30" spans="1:14" ht="18.75" customHeight="1">
      <c r="A30" s="109">
        <v>25</v>
      </c>
      <c r="B30" s="110" t="s">
        <v>35</v>
      </c>
      <c r="C30" s="111">
        <v>29750</v>
      </c>
      <c r="D30" s="111">
        <v>28204</v>
      </c>
      <c r="E30" s="111">
        <v>57954</v>
      </c>
      <c r="F30" s="111">
        <v>18915</v>
      </c>
      <c r="G30" s="111">
        <v>18102</v>
      </c>
      <c r="H30" s="111">
        <v>37017</v>
      </c>
      <c r="I30" s="111">
        <v>12590</v>
      </c>
      <c r="J30" s="111">
        <v>12195</v>
      </c>
      <c r="K30" s="111">
        <v>24785</v>
      </c>
      <c r="L30" s="111">
        <v>13556</v>
      </c>
      <c r="M30" s="111">
        <v>12265</v>
      </c>
      <c r="N30" s="111">
        <v>25821</v>
      </c>
    </row>
    <row r="31" spans="1:14" ht="18.75" customHeight="1">
      <c r="A31" s="109">
        <v>26</v>
      </c>
      <c r="B31" s="110" t="s">
        <v>36</v>
      </c>
      <c r="C31" s="111">
        <v>3042359</v>
      </c>
      <c r="D31" s="111">
        <v>2734528</v>
      </c>
      <c r="E31" s="111">
        <v>5776887</v>
      </c>
      <c r="F31" s="111">
        <v>1636628</v>
      </c>
      <c r="G31" s="111">
        <v>1459324</v>
      </c>
      <c r="H31" s="111">
        <v>3095952</v>
      </c>
      <c r="I31" s="111">
        <v>1132664</v>
      </c>
      <c r="J31" s="111">
        <v>1001133</v>
      </c>
      <c r="K31" s="111">
        <v>2133797</v>
      </c>
      <c r="L31" s="111">
        <v>964371</v>
      </c>
      <c r="M31" s="111">
        <v>844657</v>
      </c>
      <c r="N31" s="111">
        <v>1809028</v>
      </c>
    </row>
    <row r="32" spans="1:14" ht="18.75" customHeight="1">
      <c r="A32" s="109">
        <v>27</v>
      </c>
      <c r="B32" s="110" t="s">
        <v>37</v>
      </c>
      <c r="C32" s="111">
        <v>121086</v>
      </c>
      <c r="D32" s="111">
        <v>111741</v>
      </c>
      <c r="E32" s="111">
        <v>232827</v>
      </c>
      <c r="F32" s="111">
        <v>73570</v>
      </c>
      <c r="G32" s="111">
        <v>68256</v>
      </c>
      <c r="H32" s="111">
        <v>141826</v>
      </c>
      <c r="I32" s="111">
        <v>48598</v>
      </c>
      <c r="J32" s="111">
        <v>45996</v>
      </c>
      <c r="K32" s="111">
        <v>94594</v>
      </c>
      <c r="L32" s="111">
        <v>45292</v>
      </c>
      <c r="M32" s="111">
        <v>41360</v>
      </c>
      <c r="N32" s="111">
        <v>86652</v>
      </c>
    </row>
    <row r="33" spans="1:14" ht="18.75" customHeight="1">
      <c r="A33" s="109">
        <v>28</v>
      </c>
      <c r="B33" s="110" t="s">
        <v>57</v>
      </c>
      <c r="C33" s="111">
        <v>1051286</v>
      </c>
      <c r="D33" s="111">
        <v>1008633</v>
      </c>
      <c r="E33" s="111">
        <v>2059919</v>
      </c>
      <c r="F33" s="111">
        <v>668458</v>
      </c>
      <c r="G33" s="111">
        <v>640857</v>
      </c>
      <c r="H33" s="111">
        <v>1309315</v>
      </c>
      <c r="I33" s="111">
        <v>464835</v>
      </c>
      <c r="J33" s="111">
        <v>433798</v>
      </c>
      <c r="K33" s="111">
        <v>898633</v>
      </c>
      <c r="L33" s="111">
        <v>447715</v>
      </c>
      <c r="M33" s="111">
        <v>376303</v>
      </c>
      <c r="N33" s="111">
        <v>824018</v>
      </c>
    </row>
    <row r="34" spans="1:14" ht="18.75" customHeight="1">
      <c r="A34" s="109">
        <v>29</v>
      </c>
      <c r="B34" s="110" t="s">
        <v>39</v>
      </c>
      <c r="C34" s="111">
        <v>0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</row>
    <row r="35" spans="1:14" ht="18.75" customHeight="1">
      <c r="A35" s="109">
        <v>30</v>
      </c>
      <c r="B35" s="110" t="s">
        <v>40</v>
      </c>
      <c r="C35" s="111">
        <v>11010</v>
      </c>
      <c r="D35" s="111">
        <v>9649</v>
      </c>
      <c r="E35" s="111">
        <v>20659</v>
      </c>
      <c r="F35" s="111">
        <v>6639</v>
      </c>
      <c r="G35" s="111">
        <v>5728</v>
      </c>
      <c r="H35" s="111">
        <v>12367</v>
      </c>
      <c r="I35" s="111">
        <v>4443</v>
      </c>
      <c r="J35" s="111">
        <v>3925</v>
      </c>
      <c r="K35" s="111">
        <v>8368</v>
      </c>
      <c r="L35" s="111">
        <v>4675</v>
      </c>
      <c r="M35" s="111">
        <v>3875</v>
      </c>
      <c r="N35" s="111">
        <v>8550</v>
      </c>
    </row>
    <row r="36" spans="1:14" ht="18.75" customHeight="1">
      <c r="A36" s="109">
        <v>31</v>
      </c>
      <c r="B36" s="110" t="s">
        <v>41</v>
      </c>
      <c r="C36" s="111">
        <v>285</v>
      </c>
      <c r="D36" s="111">
        <v>253</v>
      </c>
      <c r="E36" s="111">
        <v>538</v>
      </c>
      <c r="F36" s="111">
        <v>178</v>
      </c>
      <c r="G36" s="111">
        <v>182</v>
      </c>
      <c r="H36" s="111">
        <v>360</v>
      </c>
      <c r="I36" s="111">
        <v>121</v>
      </c>
      <c r="J36" s="111">
        <v>101</v>
      </c>
      <c r="K36" s="111">
        <v>222</v>
      </c>
      <c r="L36" s="111">
        <v>110</v>
      </c>
      <c r="M36" s="111">
        <v>121</v>
      </c>
      <c r="N36" s="111">
        <v>231</v>
      </c>
    </row>
    <row r="37" spans="1:14" ht="18.75" customHeight="1">
      <c r="A37" s="109">
        <v>32</v>
      </c>
      <c r="B37" s="110" t="s">
        <v>42</v>
      </c>
      <c r="C37" s="111">
        <v>242</v>
      </c>
      <c r="D37" s="111">
        <v>257</v>
      </c>
      <c r="E37" s="111">
        <v>499</v>
      </c>
      <c r="F37" s="111">
        <v>186</v>
      </c>
      <c r="G37" s="111">
        <v>168</v>
      </c>
      <c r="H37" s="111">
        <v>354</v>
      </c>
      <c r="I37" s="111">
        <v>127</v>
      </c>
      <c r="J37" s="111">
        <v>102</v>
      </c>
      <c r="K37" s="111">
        <v>229</v>
      </c>
      <c r="L37" s="111">
        <v>148</v>
      </c>
      <c r="M37" s="111">
        <v>100</v>
      </c>
      <c r="N37" s="111">
        <v>248</v>
      </c>
    </row>
    <row r="38" spans="1:14" ht="18.75" customHeight="1">
      <c r="A38" s="109">
        <v>33</v>
      </c>
      <c r="B38" s="110" t="s">
        <v>43</v>
      </c>
      <c r="C38" s="111">
        <v>150475</v>
      </c>
      <c r="D38" s="111">
        <v>131184</v>
      </c>
      <c r="E38" s="111">
        <v>281659</v>
      </c>
      <c r="F38" s="111">
        <v>92445</v>
      </c>
      <c r="G38" s="111">
        <v>82573</v>
      </c>
      <c r="H38" s="111">
        <v>175018</v>
      </c>
      <c r="I38" s="111">
        <v>64927</v>
      </c>
      <c r="J38" s="111">
        <v>57869</v>
      </c>
      <c r="K38" s="111">
        <v>122796</v>
      </c>
      <c r="L38" s="111">
        <v>64762</v>
      </c>
      <c r="M38" s="111">
        <v>55758</v>
      </c>
      <c r="N38" s="111">
        <v>120520</v>
      </c>
    </row>
    <row r="39" spans="1:14" ht="18.75" customHeight="1">
      <c r="A39" s="109">
        <v>34</v>
      </c>
      <c r="B39" s="110" t="s">
        <v>58</v>
      </c>
      <c r="C39" s="111">
        <v>0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</row>
    <row r="40" spans="1:14" ht="18.75" customHeight="1">
      <c r="A40" s="109">
        <v>35</v>
      </c>
      <c r="B40" s="110" t="s">
        <v>45</v>
      </c>
      <c r="C40" s="111">
        <v>9235</v>
      </c>
      <c r="D40" s="111">
        <v>9026</v>
      </c>
      <c r="E40" s="111">
        <v>18261</v>
      </c>
      <c r="F40" s="111">
        <v>5781</v>
      </c>
      <c r="G40" s="111">
        <v>5634</v>
      </c>
      <c r="H40" s="111">
        <v>11415</v>
      </c>
      <c r="I40" s="111">
        <v>3676</v>
      </c>
      <c r="J40" s="111">
        <v>3671</v>
      </c>
      <c r="K40" s="111">
        <v>7347</v>
      </c>
      <c r="L40" s="111">
        <v>3368</v>
      </c>
      <c r="M40" s="111">
        <v>3360</v>
      </c>
      <c r="N40" s="111">
        <v>6728</v>
      </c>
    </row>
    <row r="41" spans="1:14" ht="19.5" customHeight="1">
      <c r="A41" s="316" t="s">
        <v>46</v>
      </c>
      <c r="B41" s="316"/>
      <c r="C41" s="115">
        <f>SUM(C6:C40)</f>
        <v>12157902</v>
      </c>
      <c r="D41" s="115">
        <f t="shared" ref="D41:N41" si="0">SUM(D6:D40)</f>
        <v>11242411</v>
      </c>
      <c r="E41" s="115">
        <f t="shared" si="0"/>
        <v>23400313</v>
      </c>
      <c r="F41" s="115">
        <f t="shared" si="0"/>
        <v>7045378</v>
      </c>
      <c r="G41" s="115">
        <f t="shared" si="0"/>
        <v>6484597</v>
      </c>
      <c r="H41" s="115">
        <f t="shared" si="0"/>
        <v>13529975</v>
      </c>
      <c r="I41" s="115">
        <f t="shared" si="0"/>
        <v>4724229</v>
      </c>
      <c r="J41" s="115">
        <f t="shared" si="0"/>
        <v>4238423</v>
      </c>
      <c r="K41" s="115">
        <f t="shared" si="0"/>
        <v>8962652</v>
      </c>
      <c r="L41" s="115">
        <f t="shared" si="0"/>
        <v>4233683</v>
      </c>
      <c r="M41" s="115">
        <f t="shared" si="0"/>
        <v>3655436</v>
      </c>
      <c r="N41" s="115">
        <f t="shared" si="0"/>
        <v>7889119</v>
      </c>
    </row>
    <row r="42" spans="1:14" ht="19.5" customHeight="1">
      <c r="E42" s="117"/>
      <c r="H42" s="117"/>
      <c r="K42" s="117"/>
    </row>
    <row r="45" spans="1:14" ht="19.5" customHeight="1">
      <c r="C45" s="116"/>
    </row>
  </sheetData>
  <mergeCells count="7">
    <mergeCell ref="I3:K3"/>
    <mergeCell ref="L3:N3"/>
    <mergeCell ref="A41:B41"/>
    <mergeCell ref="A3:A4"/>
    <mergeCell ref="B3:B4"/>
    <mergeCell ref="C3:E3"/>
    <mergeCell ref="F3:H3"/>
  </mergeCells>
  <pageMargins left="0.28000000000000003" right="0.16" top="0.52" bottom="0.62" header="0.36" footer="0.24"/>
  <pageSetup paperSize="9" firstPageNumber="71" orientation="portrait" useFirstPageNumber="1" horizontalDpi="300" verticalDpi="300" r:id="rId1"/>
  <headerFooter alignWithMargins="0">
    <oddFooter>&amp;LStatistics of School Education 2011-12&amp;R&amp;P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P44"/>
  <sheetViews>
    <sheetView showZeros="0" view="pageBreakPreview" topLeftCell="A31" zoomScaleSheetLayoutView="100" workbookViewId="0">
      <selection activeCell="M32" sqref="M32"/>
    </sheetView>
  </sheetViews>
  <sheetFormatPr defaultRowHeight="19.5" customHeight="1"/>
  <cols>
    <col min="1" max="1" width="4.5703125" style="100" customWidth="1"/>
    <col min="2" max="2" width="20" style="100" customWidth="1"/>
    <col min="3" max="4" width="11.85546875" style="100" customWidth="1"/>
    <col min="5" max="5" width="11.42578125" style="100" customWidth="1"/>
    <col min="6" max="14" width="11.85546875" style="100" customWidth="1"/>
    <col min="15" max="256" width="9.140625" style="100"/>
    <col min="257" max="257" width="4.5703125" style="100" customWidth="1"/>
    <col min="258" max="258" width="20" style="100" customWidth="1"/>
    <col min="259" max="260" width="11.85546875" style="100" customWidth="1"/>
    <col min="261" max="261" width="12.7109375" style="100" customWidth="1"/>
    <col min="262" max="270" width="11.85546875" style="100" customWidth="1"/>
    <col min="271" max="512" width="9.140625" style="100"/>
    <col min="513" max="513" width="4.5703125" style="100" customWidth="1"/>
    <col min="514" max="514" width="20" style="100" customWidth="1"/>
    <col min="515" max="516" width="11.85546875" style="100" customWidth="1"/>
    <col min="517" max="517" width="12.7109375" style="100" customWidth="1"/>
    <col min="518" max="526" width="11.85546875" style="100" customWidth="1"/>
    <col min="527" max="768" width="9.140625" style="100"/>
    <col min="769" max="769" width="4.5703125" style="100" customWidth="1"/>
    <col min="770" max="770" width="20" style="100" customWidth="1"/>
    <col min="771" max="772" width="11.85546875" style="100" customWidth="1"/>
    <col min="773" max="773" width="12.7109375" style="100" customWidth="1"/>
    <col min="774" max="782" width="11.85546875" style="100" customWidth="1"/>
    <col min="783" max="1024" width="9.140625" style="100"/>
    <col min="1025" max="1025" width="4.5703125" style="100" customWidth="1"/>
    <col min="1026" max="1026" width="20" style="100" customWidth="1"/>
    <col min="1027" max="1028" width="11.85546875" style="100" customWidth="1"/>
    <col min="1029" max="1029" width="12.7109375" style="100" customWidth="1"/>
    <col min="1030" max="1038" width="11.85546875" style="100" customWidth="1"/>
    <col min="1039" max="1280" width="9.140625" style="100"/>
    <col min="1281" max="1281" width="4.5703125" style="100" customWidth="1"/>
    <col min="1282" max="1282" width="20" style="100" customWidth="1"/>
    <col min="1283" max="1284" width="11.85546875" style="100" customWidth="1"/>
    <col min="1285" max="1285" width="12.7109375" style="100" customWidth="1"/>
    <col min="1286" max="1294" width="11.85546875" style="100" customWidth="1"/>
    <col min="1295" max="1536" width="9.140625" style="100"/>
    <col min="1537" max="1537" width="4.5703125" style="100" customWidth="1"/>
    <col min="1538" max="1538" width="20" style="100" customWidth="1"/>
    <col min="1539" max="1540" width="11.85546875" style="100" customWidth="1"/>
    <col min="1541" max="1541" width="12.7109375" style="100" customWidth="1"/>
    <col min="1542" max="1550" width="11.85546875" style="100" customWidth="1"/>
    <col min="1551" max="1792" width="9.140625" style="100"/>
    <col min="1793" max="1793" width="4.5703125" style="100" customWidth="1"/>
    <col min="1794" max="1794" width="20" style="100" customWidth="1"/>
    <col min="1795" max="1796" width="11.85546875" style="100" customWidth="1"/>
    <col min="1797" max="1797" width="12.7109375" style="100" customWidth="1"/>
    <col min="1798" max="1806" width="11.85546875" style="100" customWidth="1"/>
    <col min="1807" max="2048" width="9.140625" style="100"/>
    <col min="2049" max="2049" width="4.5703125" style="100" customWidth="1"/>
    <col min="2050" max="2050" width="20" style="100" customWidth="1"/>
    <col min="2051" max="2052" width="11.85546875" style="100" customWidth="1"/>
    <col min="2053" max="2053" width="12.7109375" style="100" customWidth="1"/>
    <col min="2054" max="2062" width="11.85546875" style="100" customWidth="1"/>
    <col min="2063" max="2304" width="9.140625" style="100"/>
    <col min="2305" max="2305" width="4.5703125" style="100" customWidth="1"/>
    <col min="2306" max="2306" width="20" style="100" customWidth="1"/>
    <col min="2307" max="2308" width="11.85546875" style="100" customWidth="1"/>
    <col min="2309" max="2309" width="12.7109375" style="100" customWidth="1"/>
    <col min="2310" max="2318" width="11.85546875" style="100" customWidth="1"/>
    <col min="2319" max="2560" width="9.140625" style="100"/>
    <col min="2561" max="2561" width="4.5703125" style="100" customWidth="1"/>
    <col min="2562" max="2562" width="20" style="100" customWidth="1"/>
    <col min="2563" max="2564" width="11.85546875" style="100" customWidth="1"/>
    <col min="2565" max="2565" width="12.7109375" style="100" customWidth="1"/>
    <col min="2566" max="2574" width="11.85546875" style="100" customWidth="1"/>
    <col min="2575" max="2816" width="9.140625" style="100"/>
    <col min="2817" max="2817" width="4.5703125" style="100" customWidth="1"/>
    <col min="2818" max="2818" width="20" style="100" customWidth="1"/>
    <col min="2819" max="2820" width="11.85546875" style="100" customWidth="1"/>
    <col min="2821" max="2821" width="12.7109375" style="100" customWidth="1"/>
    <col min="2822" max="2830" width="11.85546875" style="100" customWidth="1"/>
    <col min="2831" max="3072" width="9.140625" style="100"/>
    <col min="3073" max="3073" width="4.5703125" style="100" customWidth="1"/>
    <col min="3074" max="3074" width="20" style="100" customWidth="1"/>
    <col min="3075" max="3076" width="11.85546875" style="100" customWidth="1"/>
    <col min="3077" max="3077" width="12.7109375" style="100" customWidth="1"/>
    <col min="3078" max="3086" width="11.85546875" style="100" customWidth="1"/>
    <col min="3087" max="3328" width="9.140625" style="100"/>
    <col min="3329" max="3329" width="4.5703125" style="100" customWidth="1"/>
    <col min="3330" max="3330" width="20" style="100" customWidth="1"/>
    <col min="3331" max="3332" width="11.85546875" style="100" customWidth="1"/>
    <col min="3333" max="3333" width="12.7109375" style="100" customWidth="1"/>
    <col min="3334" max="3342" width="11.85546875" style="100" customWidth="1"/>
    <col min="3343" max="3584" width="9.140625" style="100"/>
    <col min="3585" max="3585" width="4.5703125" style="100" customWidth="1"/>
    <col min="3586" max="3586" width="20" style="100" customWidth="1"/>
    <col min="3587" max="3588" width="11.85546875" style="100" customWidth="1"/>
    <col min="3589" max="3589" width="12.7109375" style="100" customWidth="1"/>
    <col min="3590" max="3598" width="11.85546875" style="100" customWidth="1"/>
    <col min="3599" max="3840" width="9.140625" style="100"/>
    <col min="3841" max="3841" width="4.5703125" style="100" customWidth="1"/>
    <col min="3842" max="3842" width="20" style="100" customWidth="1"/>
    <col min="3843" max="3844" width="11.85546875" style="100" customWidth="1"/>
    <col min="3845" max="3845" width="12.7109375" style="100" customWidth="1"/>
    <col min="3846" max="3854" width="11.85546875" style="100" customWidth="1"/>
    <col min="3855" max="4096" width="9.140625" style="100"/>
    <col min="4097" max="4097" width="4.5703125" style="100" customWidth="1"/>
    <col min="4098" max="4098" width="20" style="100" customWidth="1"/>
    <col min="4099" max="4100" width="11.85546875" style="100" customWidth="1"/>
    <col min="4101" max="4101" width="12.7109375" style="100" customWidth="1"/>
    <col min="4102" max="4110" width="11.85546875" style="100" customWidth="1"/>
    <col min="4111" max="4352" width="9.140625" style="100"/>
    <col min="4353" max="4353" width="4.5703125" style="100" customWidth="1"/>
    <col min="4354" max="4354" width="20" style="100" customWidth="1"/>
    <col min="4355" max="4356" width="11.85546875" style="100" customWidth="1"/>
    <col min="4357" max="4357" width="12.7109375" style="100" customWidth="1"/>
    <col min="4358" max="4366" width="11.85546875" style="100" customWidth="1"/>
    <col min="4367" max="4608" width="9.140625" style="100"/>
    <col min="4609" max="4609" width="4.5703125" style="100" customWidth="1"/>
    <col min="4610" max="4610" width="20" style="100" customWidth="1"/>
    <col min="4611" max="4612" width="11.85546875" style="100" customWidth="1"/>
    <col min="4613" max="4613" width="12.7109375" style="100" customWidth="1"/>
    <col min="4614" max="4622" width="11.85546875" style="100" customWidth="1"/>
    <col min="4623" max="4864" width="9.140625" style="100"/>
    <col min="4865" max="4865" width="4.5703125" style="100" customWidth="1"/>
    <col min="4866" max="4866" width="20" style="100" customWidth="1"/>
    <col min="4867" max="4868" width="11.85546875" style="100" customWidth="1"/>
    <col min="4869" max="4869" width="12.7109375" style="100" customWidth="1"/>
    <col min="4870" max="4878" width="11.85546875" style="100" customWidth="1"/>
    <col min="4879" max="5120" width="9.140625" style="100"/>
    <col min="5121" max="5121" width="4.5703125" style="100" customWidth="1"/>
    <col min="5122" max="5122" width="20" style="100" customWidth="1"/>
    <col min="5123" max="5124" width="11.85546875" style="100" customWidth="1"/>
    <col min="5125" max="5125" width="12.7109375" style="100" customWidth="1"/>
    <col min="5126" max="5134" width="11.85546875" style="100" customWidth="1"/>
    <col min="5135" max="5376" width="9.140625" style="100"/>
    <col min="5377" max="5377" width="4.5703125" style="100" customWidth="1"/>
    <col min="5378" max="5378" width="20" style="100" customWidth="1"/>
    <col min="5379" max="5380" width="11.85546875" style="100" customWidth="1"/>
    <col min="5381" max="5381" width="12.7109375" style="100" customWidth="1"/>
    <col min="5382" max="5390" width="11.85546875" style="100" customWidth="1"/>
    <col min="5391" max="5632" width="9.140625" style="100"/>
    <col min="5633" max="5633" width="4.5703125" style="100" customWidth="1"/>
    <col min="5634" max="5634" width="20" style="100" customWidth="1"/>
    <col min="5635" max="5636" width="11.85546875" style="100" customWidth="1"/>
    <col min="5637" max="5637" width="12.7109375" style="100" customWidth="1"/>
    <col min="5638" max="5646" width="11.85546875" style="100" customWidth="1"/>
    <col min="5647" max="5888" width="9.140625" style="100"/>
    <col min="5889" max="5889" width="4.5703125" style="100" customWidth="1"/>
    <col min="5890" max="5890" width="20" style="100" customWidth="1"/>
    <col min="5891" max="5892" width="11.85546875" style="100" customWidth="1"/>
    <col min="5893" max="5893" width="12.7109375" style="100" customWidth="1"/>
    <col min="5894" max="5902" width="11.85546875" style="100" customWidth="1"/>
    <col min="5903" max="6144" width="9.140625" style="100"/>
    <col min="6145" max="6145" width="4.5703125" style="100" customWidth="1"/>
    <col min="6146" max="6146" width="20" style="100" customWidth="1"/>
    <col min="6147" max="6148" width="11.85546875" style="100" customWidth="1"/>
    <col min="6149" max="6149" width="12.7109375" style="100" customWidth="1"/>
    <col min="6150" max="6158" width="11.85546875" style="100" customWidth="1"/>
    <col min="6159" max="6400" width="9.140625" style="100"/>
    <col min="6401" max="6401" width="4.5703125" style="100" customWidth="1"/>
    <col min="6402" max="6402" width="20" style="100" customWidth="1"/>
    <col min="6403" max="6404" width="11.85546875" style="100" customWidth="1"/>
    <col min="6405" max="6405" width="12.7109375" style="100" customWidth="1"/>
    <col min="6406" max="6414" width="11.85546875" style="100" customWidth="1"/>
    <col min="6415" max="6656" width="9.140625" style="100"/>
    <col min="6657" max="6657" width="4.5703125" style="100" customWidth="1"/>
    <col min="6658" max="6658" width="20" style="100" customWidth="1"/>
    <col min="6659" max="6660" width="11.85546875" style="100" customWidth="1"/>
    <col min="6661" max="6661" width="12.7109375" style="100" customWidth="1"/>
    <col min="6662" max="6670" width="11.85546875" style="100" customWidth="1"/>
    <col min="6671" max="6912" width="9.140625" style="100"/>
    <col min="6913" max="6913" width="4.5703125" style="100" customWidth="1"/>
    <col min="6914" max="6914" width="20" style="100" customWidth="1"/>
    <col min="6915" max="6916" width="11.85546875" style="100" customWidth="1"/>
    <col min="6917" max="6917" width="12.7109375" style="100" customWidth="1"/>
    <col min="6918" max="6926" width="11.85546875" style="100" customWidth="1"/>
    <col min="6927" max="7168" width="9.140625" style="100"/>
    <col min="7169" max="7169" width="4.5703125" style="100" customWidth="1"/>
    <col min="7170" max="7170" width="20" style="100" customWidth="1"/>
    <col min="7171" max="7172" width="11.85546875" style="100" customWidth="1"/>
    <col min="7173" max="7173" width="12.7109375" style="100" customWidth="1"/>
    <col min="7174" max="7182" width="11.85546875" style="100" customWidth="1"/>
    <col min="7183" max="7424" width="9.140625" style="100"/>
    <col min="7425" max="7425" width="4.5703125" style="100" customWidth="1"/>
    <col min="7426" max="7426" width="20" style="100" customWidth="1"/>
    <col min="7427" max="7428" width="11.85546875" style="100" customWidth="1"/>
    <col min="7429" max="7429" width="12.7109375" style="100" customWidth="1"/>
    <col min="7430" max="7438" width="11.85546875" style="100" customWidth="1"/>
    <col min="7439" max="7680" width="9.140625" style="100"/>
    <col min="7681" max="7681" width="4.5703125" style="100" customWidth="1"/>
    <col min="7682" max="7682" width="20" style="100" customWidth="1"/>
    <col min="7683" max="7684" width="11.85546875" style="100" customWidth="1"/>
    <col min="7685" max="7685" width="12.7109375" style="100" customWidth="1"/>
    <col min="7686" max="7694" width="11.85546875" style="100" customWidth="1"/>
    <col min="7695" max="7936" width="9.140625" style="100"/>
    <col min="7937" max="7937" width="4.5703125" style="100" customWidth="1"/>
    <col min="7938" max="7938" width="20" style="100" customWidth="1"/>
    <col min="7939" max="7940" width="11.85546875" style="100" customWidth="1"/>
    <col min="7941" max="7941" width="12.7109375" style="100" customWidth="1"/>
    <col min="7942" max="7950" width="11.85546875" style="100" customWidth="1"/>
    <col min="7951" max="8192" width="9.140625" style="100"/>
    <col min="8193" max="8193" width="4.5703125" style="100" customWidth="1"/>
    <col min="8194" max="8194" width="20" style="100" customWidth="1"/>
    <col min="8195" max="8196" width="11.85546875" style="100" customWidth="1"/>
    <col min="8197" max="8197" width="12.7109375" style="100" customWidth="1"/>
    <col min="8198" max="8206" width="11.85546875" style="100" customWidth="1"/>
    <col min="8207" max="8448" width="9.140625" style="100"/>
    <col min="8449" max="8449" width="4.5703125" style="100" customWidth="1"/>
    <col min="8450" max="8450" width="20" style="100" customWidth="1"/>
    <col min="8451" max="8452" width="11.85546875" style="100" customWidth="1"/>
    <col min="8453" max="8453" width="12.7109375" style="100" customWidth="1"/>
    <col min="8454" max="8462" width="11.85546875" style="100" customWidth="1"/>
    <col min="8463" max="8704" width="9.140625" style="100"/>
    <col min="8705" max="8705" width="4.5703125" style="100" customWidth="1"/>
    <col min="8706" max="8706" width="20" style="100" customWidth="1"/>
    <col min="8707" max="8708" width="11.85546875" style="100" customWidth="1"/>
    <col min="8709" max="8709" width="12.7109375" style="100" customWidth="1"/>
    <col min="8710" max="8718" width="11.85546875" style="100" customWidth="1"/>
    <col min="8719" max="8960" width="9.140625" style="100"/>
    <col min="8961" max="8961" width="4.5703125" style="100" customWidth="1"/>
    <col min="8962" max="8962" width="20" style="100" customWidth="1"/>
    <col min="8963" max="8964" width="11.85546875" style="100" customWidth="1"/>
    <col min="8965" max="8965" width="12.7109375" style="100" customWidth="1"/>
    <col min="8966" max="8974" width="11.85546875" style="100" customWidth="1"/>
    <col min="8975" max="9216" width="9.140625" style="100"/>
    <col min="9217" max="9217" width="4.5703125" style="100" customWidth="1"/>
    <col min="9218" max="9218" width="20" style="100" customWidth="1"/>
    <col min="9219" max="9220" width="11.85546875" style="100" customWidth="1"/>
    <col min="9221" max="9221" width="12.7109375" style="100" customWidth="1"/>
    <col min="9222" max="9230" width="11.85546875" style="100" customWidth="1"/>
    <col min="9231" max="9472" width="9.140625" style="100"/>
    <col min="9473" max="9473" width="4.5703125" style="100" customWidth="1"/>
    <col min="9474" max="9474" width="20" style="100" customWidth="1"/>
    <col min="9475" max="9476" width="11.85546875" style="100" customWidth="1"/>
    <col min="9477" max="9477" width="12.7109375" style="100" customWidth="1"/>
    <col min="9478" max="9486" width="11.85546875" style="100" customWidth="1"/>
    <col min="9487" max="9728" width="9.140625" style="100"/>
    <col min="9729" max="9729" width="4.5703125" style="100" customWidth="1"/>
    <col min="9730" max="9730" width="20" style="100" customWidth="1"/>
    <col min="9731" max="9732" width="11.85546875" style="100" customWidth="1"/>
    <col min="9733" max="9733" width="12.7109375" style="100" customWidth="1"/>
    <col min="9734" max="9742" width="11.85546875" style="100" customWidth="1"/>
    <col min="9743" max="9984" width="9.140625" style="100"/>
    <col min="9985" max="9985" width="4.5703125" style="100" customWidth="1"/>
    <col min="9986" max="9986" width="20" style="100" customWidth="1"/>
    <col min="9987" max="9988" width="11.85546875" style="100" customWidth="1"/>
    <col min="9989" max="9989" width="12.7109375" style="100" customWidth="1"/>
    <col min="9990" max="9998" width="11.85546875" style="100" customWidth="1"/>
    <col min="9999" max="10240" width="9.140625" style="100"/>
    <col min="10241" max="10241" width="4.5703125" style="100" customWidth="1"/>
    <col min="10242" max="10242" width="20" style="100" customWidth="1"/>
    <col min="10243" max="10244" width="11.85546875" style="100" customWidth="1"/>
    <col min="10245" max="10245" width="12.7109375" style="100" customWidth="1"/>
    <col min="10246" max="10254" width="11.85546875" style="100" customWidth="1"/>
    <col min="10255" max="10496" width="9.140625" style="100"/>
    <col min="10497" max="10497" width="4.5703125" style="100" customWidth="1"/>
    <col min="10498" max="10498" width="20" style="100" customWidth="1"/>
    <col min="10499" max="10500" width="11.85546875" style="100" customWidth="1"/>
    <col min="10501" max="10501" width="12.7109375" style="100" customWidth="1"/>
    <col min="10502" max="10510" width="11.85546875" style="100" customWidth="1"/>
    <col min="10511" max="10752" width="9.140625" style="100"/>
    <col min="10753" max="10753" width="4.5703125" style="100" customWidth="1"/>
    <col min="10754" max="10754" width="20" style="100" customWidth="1"/>
    <col min="10755" max="10756" width="11.85546875" style="100" customWidth="1"/>
    <col min="10757" max="10757" width="12.7109375" style="100" customWidth="1"/>
    <col min="10758" max="10766" width="11.85546875" style="100" customWidth="1"/>
    <col min="10767" max="11008" width="9.140625" style="100"/>
    <col min="11009" max="11009" width="4.5703125" style="100" customWidth="1"/>
    <col min="11010" max="11010" width="20" style="100" customWidth="1"/>
    <col min="11011" max="11012" width="11.85546875" style="100" customWidth="1"/>
    <col min="11013" max="11013" width="12.7109375" style="100" customWidth="1"/>
    <col min="11014" max="11022" width="11.85546875" style="100" customWidth="1"/>
    <col min="11023" max="11264" width="9.140625" style="100"/>
    <col min="11265" max="11265" width="4.5703125" style="100" customWidth="1"/>
    <col min="11266" max="11266" width="20" style="100" customWidth="1"/>
    <col min="11267" max="11268" width="11.85546875" style="100" customWidth="1"/>
    <col min="11269" max="11269" width="12.7109375" style="100" customWidth="1"/>
    <col min="11270" max="11278" width="11.85546875" style="100" customWidth="1"/>
    <col min="11279" max="11520" width="9.140625" style="100"/>
    <col min="11521" max="11521" width="4.5703125" style="100" customWidth="1"/>
    <col min="11522" max="11522" width="20" style="100" customWidth="1"/>
    <col min="11523" max="11524" width="11.85546875" style="100" customWidth="1"/>
    <col min="11525" max="11525" width="12.7109375" style="100" customWidth="1"/>
    <col min="11526" max="11534" width="11.85546875" style="100" customWidth="1"/>
    <col min="11535" max="11776" width="9.140625" style="100"/>
    <col min="11777" max="11777" width="4.5703125" style="100" customWidth="1"/>
    <col min="11778" max="11778" width="20" style="100" customWidth="1"/>
    <col min="11779" max="11780" width="11.85546875" style="100" customWidth="1"/>
    <col min="11781" max="11781" width="12.7109375" style="100" customWidth="1"/>
    <col min="11782" max="11790" width="11.85546875" style="100" customWidth="1"/>
    <col min="11791" max="12032" width="9.140625" style="100"/>
    <col min="12033" max="12033" width="4.5703125" style="100" customWidth="1"/>
    <col min="12034" max="12034" width="20" style="100" customWidth="1"/>
    <col min="12035" max="12036" width="11.85546875" style="100" customWidth="1"/>
    <col min="12037" max="12037" width="12.7109375" style="100" customWidth="1"/>
    <col min="12038" max="12046" width="11.85546875" style="100" customWidth="1"/>
    <col min="12047" max="12288" width="9.140625" style="100"/>
    <col min="12289" max="12289" width="4.5703125" style="100" customWidth="1"/>
    <col min="12290" max="12290" width="20" style="100" customWidth="1"/>
    <col min="12291" max="12292" width="11.85546875" style="100" customWidth="1"/>
    <col min="12293" max="12293" width="12.7109375" style="100" customWidth="1"/>
    <col min="12294" max="12302" width="11.85546875" style="100" customWidth="1"/>
    <col min="12303" max="12544" width="9.140625" style="100"/>
    <col min="12545" max="12545" width="4.5703125" style="100" customWidth="1"/>
    <col min="12546" max="12546" width="20" style="100" customWidth="1"/>
    <col min="12547" max="12548" width="11.85546875" style="100" customWidth="1"/>
    <col min="12549" max="12549" width="12.7109375" style="100" customWidth="1"/>
    <col min="12550" max="12558" width="11.85546875" style="100" customWidth="1"/>
    <col min="12559" max="12800" width="9.140625" style="100"/>
    <col min="12801" max="12801" width="4.5703125" style="100" customWidth="1"/>
    <col min="12802" max="12802" width="20" style="100" customWidth="1"/>
    <col min="12803" max="12804" width="11.85546875" style="100" customWidth="1"/>
    <col min="12805" max="12805" width="12.7109375" style="100" customWidth="1"/>
    <col min="12806" max="12814" width="11.85546875" style="100" customWidth="1"/>
    <col min="12815" max="13056" width="9.140625" style="100"/>
    <col min="13057" max="13057" width="4.5703125" style="100" customWidth="1"/>
    <col min="13058" max="13058" width="20" style="100" customWidth="1"/>
    <col min="13059" max="13060" width="11.85546875" style="100" customWidth="1"/>
    <col min="13061" max="13061" width="12.7109375" style="100" customWidth="1"/>
    <col min="13062" max="13070" width="11.85546875" style="100" customWidth="1"/>
    <col min="13071" max="13312" width="9.140625" style="100"/>
    <col min="13313" max="13313" width="4.5703125" style="100" customWidth="1"/>
    <col min="13314" max="13314" width="20" style="100" customWidth="1"/>
    <col min="13315" max="13316" width="11.85546875" style="100" customWidth="1"/>
    <col min="13317" max="13317" width="12.7109375" style="100" customWidth="1"/>
    <col min="13318" max="13326" width="11.85546875" style="100" customWidth="1"/>
    <col min="13327" max="13568" width="9.140625" style="100"/>
    <col min="13569" max="13569" width="4.5703125" style="100" customWidth="1"/>
    <col min="13570" max="13570" width="20" style="100" customWidth="1"/>
    <col min="13571" max="13572" width="11.85546875" style="100" customWidth="1"/>
    <col min="13573" max="13573" width="12.7109375" style="100" customWidth="1"/>
    <col min="13574" max="13582" width="11.85546875" style="100" customWidth="1"/>
    <col min="13583" max="13824" width="9.140625" style="100"/>
    <col min="13825" max="13825" width="4.5703125" style="100" customWidth="1"/>
    <col min="13826" max="13826" width="20" style="100" customWidth="1"/>
    <col min="13827" max="13828" width="11.85546875" style="100" customWidth="1"/>
    <col min="13829" max="13829" width="12.7109375" style="100" customWidth="1"/>
    <col min="13830" max="13838" width="11.85546875" style="100" customWidth="1"/>
    <col min="13839" max="14080" width="9.140625" style="100"/>
    <col min="14081" max="14081" width="4.5703125" style="100" customWidth="1"/>
    <col min="14082" max="14082" width="20" style="100" customWidth="1"/>
    <col min="14083" max="14084" width="11.85546875" style="100" customWidth="1"/>
    <col min="14085" max="14085" width="12.7109375" style="100" customWidth="1"/>
    <col min="14086" max="14094" width="11.85546875" style="100" customWidth="1"/>
    <col min="14095" max="14336" width="9.140625" style="100"/>
    <col min="14337" max="14337" width="4.5703125" style="100" customWidth="1"/>
    <col min="14338" max="14338" width="20" style="100" customWidth="1"/>
    <col min="14339" max="14340" width="11.85546875" style="100" customWidth="1"/>
    <col min="14341" max="14341" width="12.7109375" style="100" customWidth="1"/>
    <col min="14342" max="14350" width="11.85546875" style="100" customWidth="1"/>
    <col min="14351" max="14592" width="9.140625" style="100"/>
    <col min="14593" max="14593" width="4.5703125" style="100" customWidth="1"/>
    <col min="14594" max="14594" width="20" style="100" customWidth="1"/>
    <col min="14595" max="14596" width="11.85546875" style="100" customWidth="1"/>
    <col min="14597" max="14597" width="12.7109375" style="100" customWidth="1"/>
    <col min="14598" max="14606" width="11.85546875" style="100" customWidth="1"/>
    <col min="14607" max="14848" width="9.140625" style="100"/>
    <col min="14849" max="14849" width="4.5703125" style="100" customWidth="1"/>
    <col min="14850" max="14850" width="20" style="100" customWidth="1"/>
    <col min="14851" max="14852" width="11.85546875" style="100" customWidth="1"/>
    <col min="14853" max="14853" width="12.7109375" style="100" customWidth="1"/>
    <col min="14854" max="14862" width="11.85546875" style="100" customWidth="1"/>
    <col min="14863" max="15104" width="9.140625" style="100"/>
    <col min="15105" max="15105" width="4.5703125" style="100" customWidth="1"/>
    <col min="15106" max="15106" width="20" style="100" customWidth="1"/>
    <col min="15107" max="15108" width="11.85546875" style="100" customWidth="1"/>
    <col min="15109" max="15109" width="12.7109375" style="100" customWidth="1"/>
    <col min="15110" max="15118" width="11.85546875" style="100" customWidth="1"/>
    <col min="15119" max="15360" width="9.140625" style="100"/>
    <col min="15361" max="15361" width="4.5703125" style="100" customWidth="1"/>
    <col min="15362" max="15362" width="20" style="100" customWidth="1"/>
    <col min="15363" max="15364" width="11.85546875" style="100" customWidth="1"/>
    <col min="15365" max="15365" width="12.7109375" style="100" customWidth="1"/>
    <col min="15366" max="15374" width="11.85546875" style="100" customWidth="1"/>
    <col min="15375" max="15616" width="9.140625" style="100"/>
    <col min="15617" max="15617" width="4.5703125" style="100" customWidth="1"/>
    <col min="15618" max="15618" width="20" style="100" customWidth="1"/>
    <col min="15619" max="15620" width="11.85546875" style="100" customWidth="1"/>
    <col min="15621" max="15621" width="12.7109375" style="100" customWidth="1"/>
    <col min="15622" max="15630" width="11.85546875" style="100" customWidth="1"/>
    <col min="15631" max="15872" width="9.140625" style="100"/>
    <col min="15873" max="15873" width="4.5703125" style="100" customWidth="1"/>
    <col min="15874" max="15874" width="20" style="100" customWidth="1"/>
    <col min="15875" max="15876" width="11.85546875" style="100" customWidth="1"/>
    <col min="15877" max="15877" width="12.7109375" style="100" customWidth="1"/>
    <col min="15878" max="15886" width="11.85546875" style="100" customWidth="1"/>
    <col min="15887" max="16128" width="9.140625" style="100"/>
    <col min="16129" max="16129" width="4.5703125" style="100" customWidth="1"/>
    <col min="16130" max="16130" width="20" style="100" customWidth="1"/>
    <col min="16131" max="16132" width="11.85546875" style="100" customWidth="1"/>
    <col min="16133" max="16133" width="12.7109375" style="100" customWidth="1"/>
    <col min="16134" max="16142" width="11.85546875" style="100" customWidth="1"/>
    <col min="16143" max="16384" width="9.140625" style="100"/>
  </cols>
  <sheetData>
    <row r="1" spans="1:16" ht="19.5" customHeight="1">
      <c r="A1" s="232"/>
      <c r="B1" s="233"/>
      <c r="C1" s="234" t="s">
        <v>205</v>
      </c>
      <c r="D1" s="232"/>
      <c r="E1" s="232"/>
      <c r="F1" s="232"/>
      <c r="G1" s="232"/>
      <c r="H1" s="232"/>
      <c r="I1" s="234" t="str">
        <f>C1</f>
        <v>Table H3: Actual Population 2011</v>
      </c>
      <c r="J1" s="232"/>
      <c r="K1" s="232"/>
      <c r="L1" s="232"/>
      <c r="M1" s="232"/>
      <c r="N1" s="232"/>
    </row>
    <row r="2" spans="1:16" ht="18" customHeight="1">
      <c r="A2" s="232"/>
      <c r="B2" s="232"/>
      <c r="C2" s="235" t="s">
        <v>80</v>
      </c>
      <c r="D2" s="236"/>
      <c r="E2" s="236"/>
      <c r="F2" s="236"/>
      <c r="G2" s="236"/>
      <c r="H2" s="236"/>
      <c r="I2" s="235" t="str">
        <f>C2</f>
        <v>Scheduled Tribe</v>
      </c>
      <c r="J2" s="236"/>
      <c r="K2" s="236"/>
      <c r="L2" s="236"/>
      <c r="M2" s="236"/>
      <c r="N2" s="236"/>
    </row>
    <row r="3" spans="1:16" ht="18.75" customHeight="1">
      <c r="A3" s="321" t="s">
        <v>67</v>
      </c>
      <c r="B3" s="323" t="s">
        <v>65</v>
      </c>
      <c r="C3" s="318" t="s">
        <v>122</v>
      </c>
      <c r="D3" s="319"/>
      <c r="E3" s="320"/>
      <c r="F3" s="318" t="s">
        <v>123</v>
      </c>
      <c r="G3" s="319"/>
      <c r="H3" s="320"/>
      <c r="I3" s="318" t="s">
        <v>124</v>
      </c>
      <c r="J3" s="319"/>
      <c r="K3" s="320"/>
      <c r="L3" s="318" t="s">
        <v>125</v>
      </c>
      <c r="M3" s="319"/>
      <c r="N3" s="320"/>
      <c r="O3" s="118"/>
      <c r="P3" s="118"/>
    </row>
    <row r="4" spans="1:16" s="118" customFormat="1" ht="18.75" customHeight="1">
      <c r="A4" s="322"/>
      <c r="B4" s="324"/>
      <c r="C4" s="237" t="s">
        <v>126</v>
      </c>
      <c r="D4" s="237" t="s">
        <v>127</v>
      </c>
      <c r="E4" s="237" t="s">
        <v>15</v>
      </c>
      <c r="F4" s="237" t="s">
        <v>126</v>
      </c>
      <c r="G4" s="237" t="s">
        <v>127</v>
      </c>
      <c r="H4" s="237" t="s">
        <v>15</v>
      </c>
      <c r="I4" s="237" t="s">
        <v>126</v>
      </c>
      <c r="J4" s="237" t="s">
        <v>127</v>
      </c>
      <c r="K4" s="237" t="s">
        <v>15</v>
      </c>
      <c r="L4" s="237" t="s">
        <v>126</v>
      </c>
      <c r="M4" s="237" t="s">
        <v>127</v>
      </c>
      <c r="N4" s="237" t="s">
        <v>15</v>
      </c>
    </row>
    <row r="5" spans="1:16" s="119" customFormat="1" ht="10.5" customHeight="1">
      <c r="A5" s="238">
        <v>1</v>
      </c>
      <c r="B5" s="239">
        <v>2</v>
      </c>
      <c r="C5" s="238">
        <v>3</v>
      </c>
      <c r="D5" s="239">
        <v>4</v>
      </c>
      <c r="E5" s="238">
        <v>5</v>
      </c>
      <c r="F5" s="239">
        <v>6</v>
      </c>
      <c r="G5" s="238">
        <v>7</v>
      </c>
      <c r="H5" s="239">
        <v>8</v>
      </c>
      <c r="I5" s="238">
        <v>9</v>
      </c>
      <c r="J5" s="239">
        <v>10</v>
      </c>
      <c r="K5" s="238">
        <v>11</v>
      </c>
      <c r="L5" s="239">
        <v>12</v>
      </c>
      <c r="M5" s="238">
        <v>13</v>
      </c>
      <c r="N5" s="239">
        <v>14</v>
      </c>
    </row>
    <row r="6" spans="1:16" ht="18.75" customHeight="1">
      <c r="A6" s="109">
        <v>1</v>
      </c>
      <c r="B6" s="110" t="s">
        <v>16</v>
      </c>
      <c r="C6" s="111">
        <v>353516</v>
      </c>
      <c r="D6" s="111">
        <v>330687</v>
      </c>
      <c r="E6" s="111">
        <v>684203</v>
      </c>
      <c r="F6" s="111">
        <v>212462</v>
      </c>
      <c r="G6" s="111">
        <v>198328</v>
      </c>
      <c r="H6" s="111">
        <v>410790</v>
      </c>
      <c r="I6" s="111">
        <v>140894</v>
      </c>
      <c r="J6" s="111">
        <v>128595</v>
      </c>
      <c r="K6" s="111">
        <v>269489</v>
      </c>
      <c r="L6" s="111">
        <v>120416</v>
      </c>
      <c r="M6" s="111">
        <v>104270</v>
      </c>
      <c r="N6" s="111">
        <v>224686</v>
      </c>
    </row>
    <row r="7" spans="1:16" ht="18.75" customHeight="1">
      <c r="A7" s="109">
        <v>2</v>
      </c>
      <c r="B7" s="110" t="s">
        <v>17</v>
      </c>
      <c r="C7" s="111">
        <v>64809</v>
      </c>
      <c r="D7" s="111">
        <v>63400</v>
      </c>
      <c r="E7" s="111">
        <v>128209</v>
      </c>
      <c r="F7" s="111">
        <v>38550</v>
      </c>
      <c r="G7" s="111">
        <v>39035</v>
      </c>
      <c r="H7" s="111">
        <v>77585</v>
      </c>
      <c r="I7" s="111">
        <v>26215</v>
      </c>
      <c r="J7" s="111">
        <v>26643</v>
      </c>
      <c r="K7" s="111">
        <v>52858</v>
      </c>
      <c r="L7" s="111">
        <v>21956</v>
      </c>
      <c r="M7" s="111">
        <v>22360</v>
      </c>
      <c r="N7" s="111">
        <v>44316</v>
      </c>
    </row>
    <row r="8" spans="1:16" ht="18.75" customHeight="1">
      <c r="A8" s="109">
        <v>3</v>
      </c>
      <c r="B8" s="110" t="s">
        <v>48</v>
      </c>
      <c r="C8" s="111">
        <v>222609</v>
      </c>
      <c r="D8" s="111">
        <v>213713</v>
      </c>
      <c r="E8" s="111">
        <v>436322</v>
      </c>
      <c r="F8" s="111">
        <v>133687</v>
      </c>
      <c r="G8" s="111">
        <v>129176</v>
      </c>
      <c r="H8" s="111">
        <v>262863</v>
      </c>
      <c r="I8" s="111">
        <v>92640</v>
      </c>
      <c r="J8" s="111">
        <v>90155</v>
      </c>
      <c r="K8" s="111">
        <v>182795</v>
      </c>
      <c r="L8" s="111">
        <v>81092</v>
      </c>
      <c r="M8" s="111">
        <v>76510</v>
      </c>
      <c r="N8" s="111">
        <v>157602</v>
      </c>
    </row>
    <row r="9" spans="1:16" ht="18.75" customHeight="1">
      <c r="A9" s="109">
        <v>4</v>
      </c>
      <c r="B9" s="114" t="s">
        <v>49</v>
      </c>
      <c r="C9" s="111">
        <v>107605</v>
      </c>
      <c r="D9" s="111">
        <v>102028</v>
      </c>
      <c r="E9" s="111">
        <v>209633</v>
      </c>
      <c r="F9" s="111">
        <v>52326</v>
      </c>
      <c r="G9" s="111">
        <v>48672</v>
      </c>
      <c r="H9" s="111">
        <v>100998</v>
      </c>
      <c r="I9" s="111">
        <v>32212</v>
      </c>
      <c r="J9" s="111">
        <v>28246</v>
      </c>
      <c r="K9" s="111">
        <v>60458</v>
      </c>
      <c r="L9" s="111">
        <v>24129</v>
      </c>
      <c r="M9" s="111">
        <v>19768</v>
      </c>
      <c r="N9" s="111">
        <v>43897</v>
      </c>
    </row>
    <row r="10" spans="1:16" ht="18.75" customHeight="1">
      <c r="A10" s="109">
        <v>5</v>
      </c>
      <c r="B10" s="114" t="s">
        <v>19</v>
      </c>
      <c r="C10" s="111">
        <v>479542</v>
      </c>
      <c r="D10" s="111">
        <v>467159</v>
      </c>
      <c r="E10" s="111">
        <v>946701</v>
      </c>
      <c r="F10" s="111">
        <v>268648</v>
      </c>
      <c r="G10" s="111">
        <v>267431</v>
      </c>
      <c r="H10" s="111">
        <v>536079</v>
      </c>
      <c r="I10" s="111">
        <v>171508</v>
      </c>
      <c r="J10" s="111">
        <v>168108</v>
      </c>
      <c r="K10" s="111">
        <v>339616</v>
      </c>
      <c r="L10" s="111">
        <v>150236</v>
      </c>
      <c r="M10" s="111">
        <v>150434</v>
      </c>
      <c r="N10" s="111">
        <v>300670</v>
      </c>
    </row>
    <row r="11" spans="1:16" ht="18.75" customHeight="1">
      <c r="A11" s="109">
        <v>6</v>
      </c>
      <c r="B11" s="110" t="s">
        <v>20</v>
      </c>
      <c r="C11" s="111">
        <v>5871</v>
      </c>
      <c r="D11" s="111">
        <v>5675</v>
      </c>
      <c r="E11" s="111">
        <v>11546</v>
      </c>
      <c r="F11" s="111">
        <v>3790</v>
      </c>
      <c r="G11" s="111">
        <v>3535</v>
      </c>
      <c r="H11" s="111">
        <v>7325</v>
      </c>
      <c r="I11" s="111">
        <v>2467</v>
      </c>
      <c r="J11" s="111">
        <v>2287</v>
      </c>
      <c r="K11" s="111">
        <v>4754</v>
      </c>
      <c r="L11" s="111">
        <v>2299</v>
      </c>
      <c r="M11" s="111">
        <v>2301</v>
      </c>
      <c r="N11" s="111">
        <v>4600</v>
      </c>
    </row>
    <row r="12" spans="1:16" ht="18.75" customHeight="1">
      <c r="A12" s="109">
        <v>7</v>
      </c>
      <c r="B12" s="110" t="s">
        <v>21</v>
      </c>
      <c r="C12" s="111">
        <v>533698</v>
      </c>
      <c r="D12" s="111">
        <v>508215</v>
      </c>
      <c r="E12" s="111">
        <v>1041913</v>
      </c>
      <c r="F12" s="111">
        <v>314451</v>
      </c>
      <c r="G12" s="111">
        <v>299898</v>
      </c>
      <c r="H12" s="111">
        <v>614349</v>
      </c>
      <c r="I12" s="111">
        <v>197105</v>
      </c>
      <c r="J12" s="111">
        <v>184438</v>
      </c>
      <c r="K12" s="111">
        <v>381543</v>
      </c>
      <c r="L12" s="111">
        <v>171326</v>
      </c>
      <c r="M12" s="111">
        <v>157714</v>
      </c>
      <c r="N12" s="111">
        <v>329040</v>
      </c>
    </row>
    <row r="13" spans="1:16" ht="18.75" customHeight="1">
      <c r="A13" s="109">
        <v>8</v>
      </c>
      <c r="B13" s="110" t="s">
        <v>22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</row>
    <row r="14" spans="1:16" ht="18.75" customHeight="1">
      <c r="A14" s="109">
        <v>9</v>
      </c>
      <c r="B14" s="110" t="s">
        <v>50</v>
      </c>
      <c r="C14" s="111">
        <v>19426</v>
      </c>
      <c r="D14" s="111">
        <v>17732</v>
      </c>
      <c r="E14" s="111">
        <v>37158</v>
      </c>
      <c r="F14" s="111">
        <v>12073</v>
      </c>
      <c r="G14" s="111">
        <v>11248</v>
      </c>
      <c r="H14" s="111">
        <v>23321</v>
      </c>
      <c r="I14" s="111">
        <v>7951</v>
      </c>
      <c r="J14" s="111">
        <v>7690</v>
      </c>
      <c r="K14" s="111">
        <v>15641</v>
      </c>
      <c r="L14" s="111">
        <v>7770</v>
      </c>
      <c r="M14" s="111">
        <v>7614</v>
      </c>
      <c r="N14" s="111">
        <v>15384</v>
      </c>
    </row>
    <row r="15" spans="1:16" ht="18.75" customHeight="1">
      <c r="A15" s="109">
        <v>10</v>
      </c>
      <c r="B15" s="110" t="s">
        <v>51</v>
      </c>
      <c r="C15" s="111">
        <v>109170</v>
      </c>
      <c r="D15" s="111">
        <v>102221</v>
      </c>
      <c r="E15" s="111">
        <v>211391</v>
      </c>
      <c r="F15" s="111">
        <v>61956</v>
      </c>
      <c r="G15" s="111">
        <v>56167</v>
      </c>
      <c r="H15" s="111">
        <v>118123</v>
      </c>
      <c r="I15" s="111">
        <v>36966</v>
      </c>
      <c r="J15" s="111">
        <v>32769</v>
      </c>
      <c r="K15" s="111">
        <v>69735</v>
      </c>
      <c r="L15" s="111">
        <v>30042</v>
      </c>
      <c r="M15" s="111">
        <v>26346</v>
      </c>
      <c r="N15" s="111">
        <v>56388</v>
      </c>
    </row>
    <row r="16" spans="1:16" ht="18.75" customHeight="1">
      <c r="A16" s="109">
        <v>11</v>
      </c>
      <c r="B16" s="110" t="s">
        <v>52</v>
      </c>
      <c r="C16" s="111">
        <v>588007</v>
      </c>
      <c r="D16" s="111">
        <v>570267</v>
      </c>
      <c r="E16" s="111">
        <v>1158274</v>
      </c>
      <c r="F16" s="111">
        <v>320058</v>
      </c>
      <c r="G16" s="111">
        <v>311751</v>
      </c>
      <c r="H16" s="111">
        <v>631809</v>
      </c>
      <c r="I16" s="111">
        <v>209162</v>
      </c>
      <c r="J16" s="111">
        <v>197133</v>
      </c>
      <c r="K16" s="111">
        <v>406295</v>
      </c>
      <c r="L16" s="111">
        <v>159837</v>
      </c>
      <c r="M16" s="111">
        <v>147254</v>
      </c>
      <c r="N16" s="111">
        <v>307091</v>
      </c>
    </row>
    <row r="17" spans="1:14" ht="18.75" customHeight="1">
      <c r="A17" s="109">
        <v>12</v>
      </c>
      <c r="B17" s="110" t="s">
        <v>25</v>
      </c>
      <c r="C17" s="111">
        <v>212822</v>
      </c>
      <c r="D17" s="111">
        <v>206157</v>
      </c>
      <c r="E17" s="111">
        <v>418979</v>
      </c>
      <c r="F17" s="111">
        <v>133543</v>
      </c>
      <c r="G17" s="111">
        <v>128598</v>
      </c>
      <c r="H17" s="111">
        <v>262141</v>
      </c>
      <c r="I17" s="111">
        <v>93694</v>
      </c>
      <c r="J17" s="111">
        <v>85431</v>
      </c>
      <c r="K17" s="111">
        <v>179125</v>
      </c>
      <c r="L17" s="111">
        <v>88636</v>
      </c>
      <c r="M17" s="111">
        <v>77306</v>
      </c>
      <c r="N17" s="111">
        <v>165942</v>
      </c>
    </row>
    <row r="18" spans="1:14" ht="18.75" customHeight="1">
      <c r="A18" s="109">
        <v>13</v>
      </c>
      <c r="B18" s="110" t="s">
        <v>53</v>
      </c>
      <c r="C18" s="111">
        <v>22967</v>
      </c>
      <c r="D18" s="111">
        <v>21435</v>
      </c>
      <c r="E18" s="111">
        <v>44402</v>
      </c>
      <c r="F18" s="111">
        <v>14555</v>
      </c>
      <c r="G18" s="111">
        <v>14209</v>
      </c>
      <c r="H18" s="111">
        <v>28764</v>
      </c>
      <c r="I18" s="111">
        <v>8392</v>
      </c>
      <c r="J18" s="111">
        <v>8342</v>
      </c>
      <c r="K18" s="111">
        <v>16734</v>
      </c>
      <c r="L18" s="111">
        <v>7175</v>
      </c>
      <c r="M18" s="111">
        <v>6891</v>
      </c>
      <c r="N18" s="111">
        <v>14066</v>
      </c>
    </row>
    <row r="19" spans="1:14" ht="18.75" customHeight="1">
      <c r="A19" s="109">
        <v>14</v>
      </c>
      <c r="B19" s="110" t="s">
        <v>27</v>
      </c>
      <c r="C19" s="111">
        <v>1106604</v>
      </c>
      <c r="D19" s="111">
        <v>1076047</v>
      </c>
      <c r="E19" s="111">
        <v>2182651</v>
      </c>
      <c r="F19" s="111">
        <v>586633</v>
      </c>
      <c r="G19" s="111">
        <v>579519</v>
      </c>
      <c r="H19" s="111">
        <v>1166152</v>
      </c>
      <c r="I19" s="111">
        <v>365222</v>
      </c>
      <c r="J19" s="111">
        <v>342164</v>
      </c>
      <c r="K19" s="111">
        <v>707386</v>
      </c>
      <c r="L19" s="111">
        <v>302597</v>
      </c>
      <c r="M19" s="111">
        <v>280158</v>
      </c>
      <c r="N19" s="111">
        <v>582755</v>
      </c>
    </row>
    <row r="20" spans="1:14" ht="18.75" customHeight="1">
      <c r="A20" s="109">
        <v>15</v>
      </c>
      <c r="B20" s="110" t="s">
        <v>28</v>
      </c>
      <c r="C20" s="111">
        <v>637028</v>
      </c>
      <c r="D20" s="111">
        <v>606172</v>
      </c>
      <c r="E20" s="111">
        <v>1243200</v>
      </c>
      <c r="F20" s="111">
        <v>386909</v>
      </c>
      <c r="G20" s="111">
        <v>358172</v>
      </c>
      <c r="H20" s="111">
        <v>745081</v>
      </c>
      <c r="I20" s="111">
        <v>242076</v>
      </c>
      <c r="J20" s="111">
        <v>218240</v>
      </c>
      <c r="K20" s="111">
        <v>460316</v>
      </c>
      <c r="L20" s="111">
        <v>225334</v>
      </c>
      <c r="M20" s="111">
        <v>198591</v>
      </c>
      <c r="N20" s="111">
        <v>423925</v>
      </c>
    </row>
    <row r="21" spans="1:14" ht="18.75" customHeight="1">
      <c r="A21" s="109">
        <v>16</v>
      </c>
      <c r="B21" s="110" t="s">
        <v>29</v>
      </c>
      <c r="C21" s="111">
        <v>67087</v>
      </c>
      <c r="D21" s="111">
        <v>62211</v>
      </c>
      <c r="E21" s="111">
        <v>129298</v>
      </c>
      <c r="F21" s="111">
        <v>42067</v>
      </c>
      <c r="G21" s="111">
        <v>39089</v>
      </c>
      <c r="H21" s="111">
        <v>81156</v>
      </c>
      <c r="I21" s="111">
        <v>29178</v>
      </c>
      <c r="J21" s="111">
        <v>27694</v>
      </c>
      <c r="K21" s="111">
        <v>56872</v>
      </c>
      <c r="L21" s="111">
        <v>26588</v>
      </c>
      <c r="M21" s="111">
        <v>26110</v>
      </c>
      <c r="N21" s="111">
        <v>52698</v>
      </c>
    </row>
    <row r="22" spans="1:14" ht="18.75" customHeight="1">
      <c r="A22" s="109">
        <v>17</v>
      </c>
      <c r="B22" s="110" t="s">
        <v>30</v>
      </c>
      <c r="C22" s="111">
        <v>175846</v>
      </c>
      <c r="D22" s="111">
        <v>171133</v>
      </c>
      <c r="E22" s="111">
        <v>346979</v>
      </c>
      <c r="F22" s="111">
        <v>100971</v>
      </c>
      <c r="G22" s="111">
        <v>99361</v>
      </c>
      <c r="H22" s="111">
        <v>200332</v>
      </c>
      <c r="I22" s="111">
        <v>63275</v>
      </c>
      <c r="J22" s="111">
        <v>63019</v>
      </c>
      <c r="K22" s="111">
        <v>126294</v>
      </c>
      <c r="L22" s="111">
        <v>58456</v>
      </c>
      <c r="M22" s="111">
        <v>57610</v>
      </c>
      <c r="N22" s="111">
        <v>116066</v>
      </c>
    </row>
    <row r="23" spans="1:14" ht="18.75" customHeight="1">
      <c r="A23" s="109">
        <v>18</v>
      </c>
      <c r="B23" s="110" t="s">
        <v>31</v>
      </c>
      <c r="C23" s="111">
        <v>57842</v>
      </c>
      <c r="D23" s="111">
        <v>55998</v>
      </c>
      <c r="E23" s="111">
        <v>113840</v>
      </c>
      <c r="F23" s="111">
        <v>33753</v>
      </c>
      <c r="G23" s="111">
        <v>32461</v>
      </c>
      <c r="H23" s="111">
        <v>66214</v>
      </c>
      <c r="I23" s="111">
        <v>21842</v>
      </c>
      <c r="J23" s="111">
        <v>21227</v>
      </c>
      <c r="K23" s="111">
        <v>43069</v>
      </c>
      <c r="L23" s="111">
        <v>21292</v>
      </c>
      <c r="M23" s="111">
        <v>20743</v>
      </c>
      <c r="N23" s="111">
        <v>42035</v>
      </c>
    </row>
    <row r="24" spans="1:14" ht="18.75" customHeight="1">
      <c r="A24" s="109">
        <v>19</v>
      </c>
      <c r="B24" s="110" t="s">
        <v>54</v>
      </c>
      <c r="C24" s="111">
        <v>110270</v>
      </c>
      <c r="D24" s="111">
        <v>103153</v>
      </c>
      <c r="E24" s="111">
        <v>213423</v>
      </c>
      <c r="F24" s="111">
        <v>68126</v>
      </c>
      <c r="G24" s="111">
        <v>63287</v>
      </c>
      <c r="H24" s="111">
        <v>131413</v>
      </c>
      <c r="I24" s="111">
        <v>45078</v>
      </c>
      <c r="J24" s="111">
        <v>42184</v>
      </c>
      <c r="K24" s="111">
        <v>87262</v>
      </c>
      <c r="L24" s="111">
        <v>41404</v>
      </c>
      <c r="M24" s="111">
        <v>40453</v>
      </c>
      <c r="N24" s="111">
        <v>81857</v>
      </c>
    </row>
    <row r="25" spans="1:14" ht="18.75" customHeight="1">
      <c r="A25" s="109">
        <v>20</v>
      </c>
      <c r="B25" s="110" t="s">
        <v>55</v>
      </c>
      <c r="C25" s="111">
        <v>618772</v>
      </c>
      <c r="D25" s="111">
        <v>621507</v>
      </c>
      <c r="E25" s="111">
        <v>1240279</v>
      </c>
      <c r="F25" s="111">
        <v>334985</v>
      </c>
      <c r="G25" s="111">
        <v>333324</v>
      </c>
      <c r="H25" s="111">
        <v>668309</v>
      </c>
      <c r="I25" s="111">
        <v>203456</v>
      </c>
      <c r="J25" s="111">
        <v>204713</v>
      </c>
      <c r="K25" s="111">
        <v>408169</v>
      </c>
      <c r="L25" s="111">
        <v>160318</v>
      </c>
      <c r="M25" s="111">
        <v>163131</v>
      </c>
      <c r="N25" s="111">
        <v>323449</v>
      </c>
    </row>
    <row r="26" spans="1:14" ht="18.75" customHeight="1">
      <c r="A26" s="109">
        <v>21</v>
      </c>
      <c r="B26" s="110" t="s">
        <v>56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</row>
    <row r="27" spans="1:14" ht="18.75" customHeight="1">
      <c r="A27" s="109">
        <v>22</v>
      </c>
      <c r="B27" s="110" t="s">
        <v>32</v>
      </c>
      <c r="C27" s="111">
        <v>668047</v>
      </c>
      <c r="D27" s="111">
        <v>618956</v>
      </c>
      <c r="E27" s="111">
        <v>1287003</v>
      </c>
      <c r="F27" s="111">
        <v>361312</v>
      </c>
      <c r="G27" s="111">
        <v>327712</v>
      </c>
      <c r="H27" s="111">
        <v>689024</v>
      </c>
      <c r="I27" s="111">
        <v>230449</v>
      </c>
      <c r="J27" s="111">
        <v>206963</v>
      </c>
      <c r="K27" s="111">
        <v>437412</v>
      </c>
      <c r="L27" s="111">
        <v>192501</v>
      </c>
      <c r="M27" s="111">
        <v>174875</v>
      </c>
      <c r="N27" s="111">
        <v>367376</v>
      </c>
    </row>
    <row r="28" spans="1:14" ht="18.75" customHeight="1">
      <c r="A28" s="109">
        <v>23</v>
      </c>
      <c r="B28" s="110" t="s">
        <v>33</v>
      </c>
      <c r="C28" s="111">
        <v>10635</v>
      </c>
      <c r="D28" s="111">
        <v>10402</v>
      </c>
      <c r="E28" s="111">
        <v>21037</v>
      </c>
      <c r="F28" s="111">
        <v>7160</v>
      </c>
      <c r="G28" s="111">
        <v>7026</v>
      </c>
      <c r="H28" s="111">
        <v>14186</v>
      </c>
      <c r="I28" s="111">
        <v>4791</v>
      </c>
      <c r="J28" s="111">
        <v>4721</v>
      </c>
      <c r="K28" s="111">
        <v>9512</v>
      </c>
      <c r="L28" s="111">
        <v>4705</v>
      </c>
      <c r="M28" s="111">
        <v>4741</v>
      </c>
      <c r="N28" s="111">
        <v>9446</v>
      </c>
    </row>
    <row r="29" spans="1:14" ht="18.75" customHeight="1">
      <c r="A29" s="109">
        <v>24</v>
      </c>
      <c r="B29" s="110" t="s">
        <v>34</v>
      </c>
      <c r="C29" s="111">
        <v>43364</v>
      </c>
      <c r="D29" s="111">
        <v>40679</v>
      </c>
      <c r="E29" s="111">
        <v>84043</v>
      </c>
      <c r="F29" s="111">
        <v>25320</v>
      </c>
      <c r="G29" s="111">
        <v>23598</v>
      </c>
      <c r="H29" s="111">
        <v>48918</v>
      </c>
      <c r="I29" s="111">
        <v>16579</v>
      </c>
      <c r="J29" s="111">
        <v>14522</v>
      </c>
      <c r="K29" s="111">
        <v>31101</v>
      </c>
      <c r="L29" s="111">
        <v>14141</v>
      </c>
      <c r="M29" s="111">
        <v>12357</v>
      </c>
      <c r="N29" s="111">
        <v>26498</v>
      </c>
    </row>
    <row r="30" spans="1:14" ht="18.75" customHeight="1">
      <c r="A30" s="109">
        <v>25</v>
      </c>
      <c r="B30" s="110" t="s">
        <v>35</v>
      </c>
      <c r="C30" s="111">
        <v>67248</v>
      </c>
      <c r="D30" s="111">
        <v>64296</v>
      </c>
      <c r="E30" s="111">
        <v>131544</v>
      </c>
      <c r="F30" s="111">
        <v>42133</v>
      </c>
      <c r="G30" s="111">
        <v>40035</v>
      </c>
      <c r="H30" s="111">
        <v>82168</v>
      </c>
      <c r="I30" s="111">
        <v>27048</v>
      </c>
      <c r="J30" s="111">
        <v>25534</v>
      </c>
      <c r="K30" s="111">
        <v>52582</v>
      </c>
      <c r="L30" s="111">
        <v>25154</v>
      </c>
      <c r="M30" s="111">
        <v>22978</v>
      </c>
      <c r="N30" s="111">
        <v>48132</v>
      </c>
    </row>
    <row r="31" spans="1:14" ht="18.75" customHeight="1">
      <c r="A31" s="109">
        <v>26</v>
      </c>
      <c r="B31" s="110" t="s">
        <v>36</v>
      </c>
      <c r="C31" s="111">
        <v>87789</v>
      </c>
      <c r="D31" s="111">
        <v>82323</v>
      </c>
      <c r="E31" s="111">
        <v>170112</v>
      </c>
      <c r="F31" s="111">
        <v>43494</v>
      </c>
      <c r="G31" s="111">
        <v>40852</v>
      </c>
      <c r="H31" s="111">
        <v>84346</v>
      </c>
      <c r="I31" s="111">
        <v>28727</v>
      </c>
      <c r="J31" s="111">
        <v>26018</v>
      </c>
      <c r="K31" s="111">
        <v>54745</v>
      </c>
      <c r="L31" s="111">
        <v>23012</v>
      </c>
      <c r="M31" s="111">
        <v>20977</v>
      </c>
      <c r="N31" s="111">
        <v>43989</v>
      </c>
    </row>
    <row r="32" spans="1:14" ht="18.75" customHeight="1">
      <c r="A32" s="109">
        <v>27</v>
      </c>
      <c r="B32" s="110" t="s">
        <v>37</v>
      </c>
      <c r="C32" s="111">
        <v>15609</v>
      </c>
      <c r="D32" s="111">
        <v>14438</v>
      </c>
      <c r="E32" s="111">
        <v>30047</v>
      </c>
      <c r="F32" s="111">
        <v>10475</v>
      </c>
      <c r="G32" s="111">
        <v>9860</v>
      </c>
      <c r="H32" s="111">
        <v>20335</v>
      </c>
      <c r="I32" s="111">
        <v>7533</v>
      </c>
      <c r="J32" s="111">
        <v>7238</v>
      </c>
      <c r="K32" s="111">
        <v>14771</v>
      </c>
      <c r="L32" s="111">
        <v>6973</v>
      </c>
      <c r="M32" s="111">
        <v>6932</v>
      </c>
      <c r="N32" s="111">
        <v>13905</v>
      </c>
    </row>
    <row r="33" spans="1:14" ht="18.75" customHeight="1">
      <c r="A33" s="109">
        <v>28</v>
      </c>
      <c r="B33" s="110" t="s">
        <v>57</v>
      </c>
      <c r="C33" s="111">
        <v>285441</v>
      </c>
      <c r="D33" s="111">
        <v>276830</v>
      </c>
      <c r="E33" s="111">
        <v>562271</v>
      </c>
      <c r="F33" s="111">
        <v>173246</v>
      </c>
      <c r="G33" s="111">
        <v>167681</v>
      </c>
      <c r="H33" s="111">
        <v>340927</v>
      </c>
      <c r="I33" s="111">
        <v>120882</v>
      </c>
      <c r="J33" s="111">
        <v>112683</v>
      </c>
      <c r="K33" s="111">
        <v>233565</v>
      </c>
      <c r="L33" s="111">
        <v>111703</v>
      </c>
      <c r="M33" s="111">
        <v>98313</v>
      </c>
      <c r="N33" s="111">
        <v>210016</v>
      </c>
    </row>
    <row r="34" spans="1:14" ht="18.75" customHeight="1">
      <c r="A34" s="109">
        <v>29</v>
      </c>
      <c r="B34" s="110" t="s">
        <v>39</v>
      </c>
      <c r="C34" s="111">
        <v>1187</v>
      </c>
      <c r="D34" s="111">
        <v>1072</v>
      </c>
      <c r="E34" s="111">
        <v>2259</v>
      </c>
      <c r="F34" s="111">
        <v>691</v>
      </c>
      <c r="G34" s="111">
        <v>622</v>
      </c>
      <c r="H34" s="111">
        <v>1313</v>
      </c>
      <c r="I34" s="111">
        <v>519</v>
      </c>
      <c r="J34" s="111">
        <v>487</v>
      </c>
      <c r="K34" s="111">
        <v>1006</v>
      </c>
      <c r="L34" s="111">
        <v>474</v>
      </c>
      <c r="M34" s="111">
        <v>437</v>
      </c>
      <c r="N34" s="111">
        <v>911</v>
      </c>
    </row>
    <row r="35" spans="1:14" ht="18.75" customHeight="1">
      <c r="A35" s="109">
        <v>30</v>
      </c>
      <c r="B35" s="110" t="s">
        <v>40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</row>
    <row r="36" spans="1:14" ht="18.75" customHeight="1">
      <c r="A36" s="109">
        <v>31</v>
      </c>
      <c r="B36" s="110" t="s">
        <v>41</v>
      </c>
      <c r="C36" s="111">
        <v>11600</v>
      </c>
      <c r="D36" s="111">
        <v>11078</v>
      </c>
      <c r="E36" s="111">
        <v>22678</v>
      </c>
      <c r="F36" s="111">
        <v>7335</v>
      </c>
      <c r="G36" s="111">
        <v>7002</v>
      </c>
      <c r="H36" s="111">
        <v>14337</v>
      </c>
      <c r="I36" s="111">
        <v>4235</v>
      </c>
      <c r="J36" s="111">
        <v>3923</v>
      </c>
      <c r="K36" s="111">
        <v>8158</v>
      </c>
      <c r="L36" s="111">
        <v>3678</v>
      </c>
      <c r="M36" s="111">
        <v>3400</v>
      </c>
      <c r="N36" s="111">
        <v>7078</v>
      </c>
    </row>
    <row r="37" spans="1:14" ht="18.75" customHeight="1">
      <c r="A37" s="109">
        <v>32</v>
      </c>
      <c r="B37" s="110" t="s">
        <v>42</v>
      </c>
      <c r="C37" s="111">
        <v>743</v>
      </c>
      <c r="D37" s="111">
        <v>721</v>
      </c>
      <c r="E37" s="111">
        <v>1464</v>
      </c>
      <c r="F37" s="111">
        <v>462</v>
      </c>
      <c r="G37" s="111">
        <v>422</v>
      </c>
      <c r="H37" s="111">
        <v>884</v>
      </c>
      <c r="I37" s="111">
        <v>299</v>
      </c>
      <c r="J37" s="111">
        <v>290</v>
      </c>
      <c r="K37" s="111">
        <v>589</v>
      </c>
      <c r="L37" s="111">
        <v>382</v>
      </c>
      <c r="M37" s="111">
        <v>313</v>
      </c>
      <c r="N37" s="111">
        <v>695</v>
      </c>
    </row>
    <row r="38" spans="1:14" ht="18.75" customHeight="1">
      <c r="A38" s="109">
        <v>33</v>
      </c>
      <c r="B38" s="110" t="s">
        <v>43</v>
      </c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</row>
    <row r="39" spans="1:14" ht="18.75" customHeight="1">
      <c r="A39" s="109">
        <v>34</v>
      </c>
      <c r="B39" s="110" t="s">
        <v>58</v>
      </c>
      <c r="C39" s="111">
        <v>2758</v>
      </c>
      <c r="D39" s="111">
        <v>2691</v>
      </c>
      <c r="E39" s="111">
        <v>5449</v>
      </c>
      <c r="F39" s="111">
        <v>1617</v>
      </c>
      <c r="G39" s="111">
        <v>1851</v>
      </c>
      <c r="H39" s="111">
        <v>3468</v>
      </c>
      <c r="I39" s="111">
        <v>1103</v>
      </c>
      <c r="J39" s="111">
        <v>1120</v>
      </c>
      <c r="K39" s="111">
        <v>2223</v>
      </c>
      <c r="L39" s="111">
        <v>1055</v>
      </c>
      <c r="M39" s="111">
        <v>1167</v>
      </c>
      <c r="N39" s="111">
        <v>2222</v>
      </c>
    </row>
    <row r="40" spans="1:14" ht="18.75" customHeight="1">
      <c r="A40" s="109">
        <v>35</v>
      </c>
      <c r="B40" s="110" t="s">
        <v>45</v>
      </c>
      <c r="C40" s="111">
        <v>0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</row>
    <row r="41" spans="1:14" ht="19.5" customHeight="1">
      <c r="A41" s="316" t="s">
        <v>46</v>
      </c>
      <c r="B41" s="316"/>
      <c r="C41" s="115">
        <f>SUM(C6:C40)</f>
        <v>6687912</v>
      </c>
      <c r="D41" s="115">
        <f t="shared" ref="D41:N41" si="0">SUM(D6:D40)</f>
        <v>6428396</v>
      </c>
      <c r="E41" s="115">
        <f t="shared" si="0"/>
        <v>13116308</v>
      </c>
      <c r="F41" s="115">
        <f t="shared" si="0"/>
        <v>3792788</v>
      </c>
      <c r="G41" s="115">
        <f t="shared" si="0"/>
        <v>3639922</v>
      </c>
      <c r="H41" s="115">
        <f t="shared" si="0"/>
        <v>7432710</v>
      </c>
      <c r="I41" s="115">
        <f t="shared" si="0"/>
        <v>2431498</v>
      </c>
      <c r="J41" s="115">
        <f t="shared" si="0"/>
        <v>2282577</v>
      </c>
      <c r="K41" s="115">
        <f t="shared" si="0"/>
        <v>4714075</v>
      </c>
      <c r="L41" s="115">
        <f t="shared" si="0"/>
        <v>2084681</v>
      </c>
      <c r="M41" s="115">
        <f t="shared" si="0"/>
        <v>1932054</v>
      </c>
      <c r="N41" s="115">
        <f t="shared" si="0"/>
        <v>4016735</v>
      </c>
    </row>
    <row r="44" spans="1:14" ht="19.5" customHeight="1">
      <c r="C44" s="116"/>
    </row>
  </sheetData>
  <mergeCells count="7">
    <mergeCell ref="I3:K3"/>
    <mergeCell ref="L3:N3"/>
    <mergeCell ref="A41:B41"/>
    <mergeCell ref="A3:A4"/>
    <mergeCell ref="B3:B4"/>
    <mergeCell ref="C3:E3"/>
    <mergeCell ref="F3:H3"/>
  </mergeCells>
  <pageMargins left="0.3" right="0.18" top="0.52" bottom="0.62" header="0.36" footer="0.24"/>
  <pageSetup paperSize="9" firstPageNumber="73" orientation="portrait" useFirstPageNumber="1" horizontalDpi="300" verticalDpi="300" r:id="rId1"/>
  <headerFooter alignWithMargins="0">
    <oddFooter>&amp;LStatistics of School Education 2011-12&amp;R&amp;P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AC41"/>
  <sheetViews>
    <sheetView showZeros="0" view="pageBreakPreview" topLeftCell="U28" zoomScaleSheetLayoutView="100" workbookViewId="0">
      <selection activeCell="W41" sqref="W41"/>
    </sheetView>
  </sheetViews>
  <sheetFormatPr defaultRowHeight="15.75"/>
  <cols>
    <col min="1" max="1" width="4.85546875" style="48" customWidth="1"/>
    <col min="2" max="2" width="22.140625" style="48" customWidth="1"/>
    <col min="3" max="29" width="14.85546875" style="48" customWidth="1"/>
    <col min="30" max="237" width="9.140625" style="48"/>
    <col min="238" max="238" width="4.85546875" style="48" customWidth="1"/>
    <col min="239" max="239" width="22.140625" style="48" customWidth="1"/>
    <col min="240" max="240" width="11.42578125" style="48" customWidth="1"/>
    <col min="241" max="241" width="11.140625" style="48" customWidth="1"/>
    <col min="242" max="242" width="11.42578125" style="48" customWidth="1"/>
    <col min="243" max="243" width="11" style="48" customWidth="1"/>
    <col min="244" max="244" width="10.140625" style="48" customWidth="1"/>
    <col min="245" max="245" width="11.5703125" style="48" customWidth="1"/>
    <col min="246" max="246" width="9.5703125" style="48" bestFit="1" customWidth="1"/>
    <col min="247" max="248" width="9.140625" style="48"/>
    <col min="249" max="249" width="10.7109375" style="48" customWidth="1"/>
    <col min="250" max="250" width="10.85546875" style="48" customWidth="1"/>
    <col min="251" max="251" width="10.42578125" style="48" customWidth="1"/>
    <col min="252" max="252" width="12.85546875" style="48" customWidth="1"/>
    <col min="253" max="253" width="12.7109375" style="48" customWidth="1"/>
    <col min="254" max="254" width="11.85546875" style="48" customWidth="1"/>
    <col min="255" max="255" width="10.42578125" style="48" customWidth="1"/>
    <col min="256" max="256" width="12.42578125" style="48" customWidth="1"/>
    <col min="257" max="257" width="12.140625" style="48" customWidth="1"/>
    <col min="258" max="258" width="10.85546875" style="48" customWidth="1"/>
    <col min="259" max="259" width="10.28515625" style="48" customWidth="1"/>
    <col min="260" max="260" width="11.28515625" style="48" customWidth="1"/>
    <col min="261" max="261" width="11.5703125" style="48" customWidth="1"/>
    <col min="262" max="262" width="11.28515625" style="48" customWidth="1"/>
    <col min="263" max="263" width="11.42578125" style="48" customWidth="1"/>
    <col min="264" max="493" width="9.140625" style="48"/>
    <col min="494" max="494" width="4.85546875" style="48" customWidth="1"/>
    <col min="495" max="495" width="22.140625" style="48" customWidth="1"/>
    <col min="496" max="496" width="11.42578125" style="48" customWidth="1"/>
    <col min="497" max="497" width="11.140625" style="48" customWidth="1"/>
    <col min="498" max="498" width="11.42578125" style="48" customWidth="1"/>
    <col min="499" max="499" width="11" style="48" customWidth="1"/>
    <col min="500" max="500" width="10.140625" style="48" customWidth="1"/>
    <col min="501" max="501" width="11.5703125" style="48" customWidth="1"/>
    <col min="502" max="502" width="9.5703125" style="48" bestFit="1" customWidth="1"/>
    <col min="503" max="504" width="9.140625" style="48"/>
    <col min="505" max="505" width="10.7109375" style="48" customWidth="1"/>
    <col min="506" max="506" width="10.85546875" style="48" customWidth="1"/>
    <col min="507" max="507" width="10.42578125" style="48" customWidth="1"/>
    <col min="508" max="508" width="12.85546875" style="48" customWidth="1"/>
    <col min="509" max="509" width="12.7109375" style="48" customWidth="1"/>
    <col min="510" max="510" width="11.85546875" style="48" customWidth="1"/>
    <col min="511" max="511" width="10.42578125" style="48" customWidth="1"/>
    <col min="512" max="512" width="12.42578125" style="48" customWidth="1"/>
    <col min="513" max="513" width="12.140625" style="48" customWidth="1"/>
    <col min="514" max="514" width="10.85546875" style="48" customWidth="1"/>
    <col min="515" max="515" width="10.28515625" style="48" customWidth="1"/>
    <col min="516" max="516" width="11.28515625" style="48" customWidth="1"/>
    <col min="517" max="517" width="11.5703125" style="48" customWidth="1"/>
    <col min="518" max="518" width="11.28515625" style="48" customWidth="1"/>
    <col min="519" max="519" width="11.42578125" style="48" customWidth="1"/>
    <col min="520" max="749" width="9.140625" style="48"/>
    <col min="750" max="750" width="4.85546875" style="48" customWidth="1"/>
    <col min="751" max="751" width="22.140625" style="48" customWidth="1"/>
    <col min="752" max="752" width="11.42578125" style="48" customWidth="1"/>
    <col min="753" max="753" width="11.140625" style="48" customWidth="1"/>
    <col min="754" max="754" width="11.42578125" style="48" customWidth="1"/>
    <col min="755" max="755" width="11" style="48" customWidth="1"/>
    <col min="756" max="756" width="10.140625" style="48" customWidth="1"/>
    <col min="757" max="757" width="11.5703125" style="48" customWidth="1"/>
    <col min="758" max="758" width="9.5703125" style="48" bestFit="1" customWidth="1"/>
    <col min="759" max="760" width="9.140625" style="48"/>
    <col min="761" max="761" width="10.7109375" style="48" customWidth="1"/>
    <col min="762" max="762" width="10.85546875" style="48" customWidth="1"/>
    <col min="763" max="763" width="10.42578125" style="48" customWidth="1"/>
    <col min="764" max="764" width="12.85546875" style="48" customWidth="1"/>
    <col min="765" max="765" width="12.7109375" style="48" customWidth="1"/>
    <col min="766" max="766" width="11.85546875" style="48" customWidth="1"/>
    <col min="767" max="767" width="10.42578125" style="48" customWidth="1"/>
    <col min="768" max="768" width="12.42578125" style="48" customWidth="1"/>
    <col min="769" max="769" width="12.140625" style="48" customWidth="1"/>
    <col min="770" max="770" width="10.85546875" style="48" customWidth="1"/>
    <col min="771" max="771" width="10.28515625" style="48" customWidth="1"/>
    <col min="772" max="772" width="11.28515625" style="48" customWidth="1"/>
    <col min="773" max="773" width="11.5703125" style="48" customWidth="1"/>
    <col min="774" max="774" width="11.28515625" style="48" customWidth="1"/>
    <col min="775" max="775" width="11.42578125" style="48" customWidth="1"/>
    <col min="776" max="1005" width="9.140625" style="48"/>
    <col min="1006" max="1006" width="4.85546875" style="48" customWidth="1"/>
    <col min="1007" max="1007" width="22.140625" style="48" customWidth="1"/>
    <col min="1008" max="1008" width="11.42578125" style="48" customWidth="1"/>
    <col min="1009" max="1009" width="11.140625" style="48" customWidth="1"/>
    <col min="1010" max="1010" width="11.42578125" style="48" customWidth="1"/>
    <col min="1011" max="1011" width="11" style="48" customWidth="1"/>
    <col min="1012" max="1012" width="10.140625" style="48" customWidth="1"/>
    <col min="1013" max="1013" width="11.5703125" style="48" customWidth="1"/>
    <col min="1014" max="1014" width="9.5703125" style="48" bestFit="1" customWidth="1"/>
    <col min="1015" max="1016" width="9.140625" style="48"/>
    <col min="1017" max="1017" width="10.7109375" style="48" customWidth="1"/>
    <col min="1018" max="1018" width="10.85546875" style="48" customWidth="1"/>
    <col min="1019" max="1019" width="10.42578125" style="48" customWidth="1"/>
    <col min="1020" max="1020" width="12.85546875" style="48" customWidth="1"/>
    <col min="1021" max="1021" width="12.7109375" style="48" customWidth="1"/>
    <col min="1022" max="1022" width="11.85546875" style="48" customWidth="1"/>
    <col min="1023" max="1023" width="10.42578125" style="48" customWidth="1"/>
    <col min="1024" max="1024" width="12.42578125" style="48" customWidth="1"/>
    <col min="1025" max="1025" width="12.140625" style="48" customWidth="1"/>
    <col min="1026" max="1026" width="10.85546875" style="48" customWidth="1"/>
    <col min="1027" max="1027" width="10.28515625" style="48" customWidth="1"/>
    <col min="1028" max="1028" width="11.28515625" style="48" customWidth="1"/>
    <col min="1029" max="1029" width="11.5703125" style="48" customWidth="1"/>
    <col min="1030" max="1030" width="11.28515625" style="48" customWidth="1"/>
    <col min="1031" max="1031" width="11.42578125" style="48" customWidth="1"/>
    <col min="1032" max="1261" width="9.140625" style="48"/>
    <col min="1262" max="1262" width="4.85546875" style="48" customWidth="1"/>
    <col min="1263" max="1263" width="22.140625" style="48" customWidth="1"/>
    <col min="1264" max="1264" width="11.42578125" style="48" customWidth="1"/>
    <col min="1265" max="1265" width="11.140625" style="48" customWidth="1"/>
    <col min="1266" max="1266" width="11.42578125" style="48" customWidth="1"/>
    <col min="1267" max="1267" width="11" style="48" customWidth="1"/>
    <col min="1268" max="1268" width="10.140625" style="48" customWidth="1"/>
    <col min="1269" max="1269" width="11.5703125" style="48" customWidth="1"/>
    <col min="1270" max="1270" width="9.5703125" style="48" bestFit="1" customWidth="1"/>
    <col min="1271" max="1272" width="9.140625" style="48"/>
    <col min="1273" max="1273" width="10.7109375" style="48" customWidth="1"/>
    <col min="1274" max="1274" width="10.85546875" style="48" customWidth="1"/>
    <col min="1275" max="1275" width="10.42578125" style="48" customWidth="1"/>
    <col min="1276" max="1276" width="12.85546875" style="48" customWidth="1"/>
    <col min="1277" max="1277" width="12.7109375" style="48" customWidth="1"/>
    <col min="1278" max="1278" width="11.85546875" style="48" customWidth="1"/>
    <col min="1279" max="1279" width="10.42578125" style="48" customWidth="1"/>
    <col min="1280" max="1280" width="12.42578125" style="48" customWidth="1"/>
    <col min="1281" max="1281" width="12.140625" style="48" customWidth="1"/>
    <col min="1282" max="1282" width="10.85546875" style="48" customWidth="1"/>
    <col min="1283" max="1283" width="10.28515625" style="48" customWidth="1"/>
    <col min="1284" max="1284" width="11.28515625" style="48" customWidth="1"/>
    <col min="1285" max="1285" width="11.5703125" style="48" customWidth="1"/>
    <col min="1286" max="1286" width="11.28515625" style="48" customWidth="1"/>
    <col min="1287" max="1287" width="11.42578125" style="48" customWidth="1"/>
    <col min="1288" max="1517" width="9.140625" style="48"/>
    <col min="1518" max="1518" width="4.85546875" style="48" customWidth="1"/>
    <col min="1519" max="1519" width="22.140625" style="48" customWidth="1"/>
    <col min="1520" max="1520" width="11.42578125" style="48" customWidth="1"/>
    <col min="1521" max="1521" width="11.140625" style="48" customWidth="1"/>
    <col min="1522" max="1522" width="11.42578125" style="48" customWidth="1"/>
    <col min="1523" max="1523" width="11" style="48" customWidth="1"/>
    <col min="1524" max="1524" width="10.140625" style="48" customWidth="1"/>
    <col min="1525" max="1525" width="11.5703125" style="48" customWidth="1"/>
    <col min="1526" max="1526" width="9.5703125" style="48" bestFit="1" customWidth="1"/>
    <col min="1527" max="1528" width="9.140625" style="48"/>
    <col min="1529" max="1529" width="10.7109375" style="48" customWidth="1"/>
    <col min="1530" max="1530" width="10.85546875" style="48" customWidth="1"/>
    <col min="1531" max="1531" width="10.42578125" style="48" customWidth="1"/>
    <col min="1532" max="1532" width="12.85546875" style="48" customWidth="1"/>
    <col min="1533" max="1533" width="12.7109375" style="48" customWidth="1"/>
    <col min="1534" max="1534" width="11.85546875" style="48" customWidth="1"/>
    <col min="1535" max="1535" width="10.42578125" style="48" customWidth="1"/>
    <col min="1536" max="1536" width="12.42578125" style="48" customWidth="1"/>
    <col min="1537" max="1537" width="12.140625" style="48" customWidth="1"/>
    <col min="1538" max="1538" width="10.85546875" style="48" customWidth="1"/>
    <col min="1539" max="1539" width="10.28515625" style="48" customWidth="1"/>
    <col min="1540" max="1540" width="11.28515625" style="48" customWidth="1"/>
    <col min="1541" max="1541" width="11.5703125" style="48" customWidth="1"/>
    <col min="1542" max="1542" width="11.28515625" style="48" customWidth="1"/>
    <col min="1543" max="1543" width="11.42578125" style="48" customWidth="1"/>
    <col min="1544" max="1773" width="9.140625" style="48"/>
    <col min="1774" max="1774" width="4.85546875" style="48" customWidth="1"/>
    <col min="1775" max="1775" width="22.140625" style="48" customWidth="1"/>
    <col min="1776" max="1776" width="11.42578125" style="48" customWidth="1"/>
    <col min="1777" max="1777" width="11.140625" style="48" customWidth="1"/>
    <col min="1778" max="1778" width="11.42578125" style="48" customWidth="1"/>
    <col min="1779" max="1779" width="11" style="48" customWidth="1"/>
    <col min="1780" max="1780" width="10.140625" style="48" customWidth="1"/>
    <col min="1781" max="1781" width="11.5703125" style="48" customWidth="1"/>
    <col min="1782" max="1782" width="9.5703125" style="48" bestFit="1" customWidth="1"/>
    <col min="1783" max="1784" width="9.140625" style="48"/>
    <col min="1785" max="1785" width="10.7109375" style="48" customWidth="1"/>
    <col min="1786" max="1786" width="10.85546875" style="48" customWidth="1"/>
    <col min="1787" max="1787" width="10.42578125" style="48" customWidth="1"/>
    <col min="1788" max="1788" width="12.85546875" style="48" customWidth="1"/>
    <col min="1789" max="1789" width="12.7109375" style="48" customWidth="1"/>
    <col min="1790" max="1790" width="11.85546875" style="48" customWidth="1"/>
    <col min="1791" max="1791" width="10.42578125" style="48" customWidth="1"/>
    <col min="1792" max="1792" width="12.42578125" style="48" customWidth="1"/>
    <col min="1793" max="1793" width="12.140625" style="48" customWidth="1"/>
    <col min="1794" max="1794" width="10.85546875" style="48" customWidth="1"/>
    <col min="1795" max="1795" width="10.28515625" style="48" customWidth="1"/>
    <col min="1796" max="1796" width="11.28515625" style="48" customWidth="1"/>
    <col min="1797" max="1797" width="11.5703125" style="48" customWidth="1"/>
    <col min="1798" max="1798" width="11.28515625" style="48" customWidth="1"/>
    <col min="1799" max="1799" width="11.42578125" style="48" customWidth="1"/>
    <col min="1800" max="2029" width="9.140625" style="48"/>
    <col min="2030" max="2030" width="4.85546875" style="48" customWidth="1"/>
    <col min="2031" max="2031" width="22.140625" style="48" customWidth="1"/>
    <col min="2032" max="2032" width="11.42578125" style="48" customWidth="1"/>
    <col min="2033" max="2033" width="11.140625" style="48" customWidth="1"/>
    <col min="2034" max="2034" width="11.42578125" style="48" customWidth="1"/>
    <col min="2035" max="2035" width="11" style="48" customWidth="1"/>
    <col min="2036" max="2036" width="10.140625" style="48" customWidth="1"/>
    <col min="2037" max="2037" width="11.5703125" style="48" customWidth="1"/>
    <col min="2038" max="2038" width="9.5703125" style="48" bestFit="1" customWidth="1"/>
    <col min="2039" max="2040" width="9.140625" style="48"/>
    <col min="2041" max="2041" width="10.7109375" style="48" customWidth="1"/>
    <col min="2042" max="2042" width="10.85546875" style="48" customWidth="1"/>
    <col min="2043" max="2043" width="10.42578125" style="48" customWidth="1"/>
    <col min="2044" max="2044" width="12.85546875" style="48" customWidth="1"/>
    <col min="2045" max="2045" width="12.7109375" style="48" customWidth="1"/>
    <col min="2046" max="2046" width="11.85546875" style="48" customWidth="1"/>
    <col min="2047" max="2047" width="10.42578125" style="48" customWidth="1"/>
    <col min="2048" max="2048" width="12.42578125" style="48" customWidth="1"/>
    <col min="2049" max="2049" width="12.140625" style="48" customWidth="1"/>
    <col min="2050" max="2050" width="10.85546875" style="48" customWidth="1"/>
    <col min="2051" max="2051" width="10.28515625" style="48" customWidth="1"/>
    <col min="2052" max="2052" width="11.28515625" style="48" customWidth="1"/>
    <col min="2053" max="2053" width="11.5703125" style="48" customWidth="1"/>
    <col min="2054" max="2054" width="11.28515625" style="48" customWidth="1"/>
    <col min="2055" max="2055" width="11.42578125" style="48" customWidth="1"/>
    <col min="2056" max="2285" width="9.140625" style="48"/>
    <col min="2286" max="2286" width="4.85546875" style="48" customWidth="1"/>
    <col min="2287" max="2287" width="22.140625" style="48" customWidth="1"/>
    <col min="2288" max="2288" width="11.42578125" style="48" customWidth="1"/>
    <col min="2289" max="2289" width="11.140625" style="48" customWidth="1"/>
    <col min="2290" max="2290" width="11.42578125" style="48" customWidth="1"/>
    <col min="2291" max="2291" width="11" style="48" customWidth="1"/>
    <col min="2292" max="2292" width="10.140625" style="48" customWidth="1"/>
    <col min="2293" max="2293" width="11.5703125" style="48" customWidth="1"/>
    <col min="2294" max="2294" width="9.5703125" style="48" bestFit="1" customWidth="1"/>
    <col min="2295" max="2296" width="9.140625" style="48"/>
    <col min="2297" max="2297" width="10.7109375" style="48" customWidth="1"/>
    <col min="2298" max="2298" width="10.85546875" style="48" customWidth="1"/>
    <col min="2299" max="2299" width="10.42578125" style="48" customWidth="1"/>
    <col min="2300" max="2300" width="12.85546875" style="48" customWidth="1"/>
    <col min="2301" max="2301" width="12.7109375" style="48" customWidth="1"/>
    <col min="2302" max="2302" width="11.85546875" style="48" customWidth="1"/>
    <col min="2303" max="2303" width="10.42578125" style="48" customWidth="1"/>
    <col min="2304" max="2304" width="12.42578125" style="48" customWidth="1"/>
    <col min="2305" max="2305" width="12.140625" style="48" customWidth="1"/>
    <col min="2306" max="2306" width="10.85546875" style="48" customWidth="1"/>
    <col min="2307" max="2307" width="10.28515625" style="48" customWidth="1"/>
    <col min="2308" max="2308" width="11.28515625" style="48" customWidth="1"/>
    <col min="2309" max="2309" width="11.5703125" style="48" customWidth="1"/>
    <col min="2310" max="2310" width="11.28515625" style="48" customWidth="1"/>
    <col min="2311" max="2311" width="11.42578125" style="48" customWidth="1"/>
    <col min="2312" max="2541" width="9.140625" style="48"/>
    <col min="2542" max="2542" width="4.85546875" style="48" customWidth="1"/>
    <col min="2543" max="2543" width="22.140625" style="48" customWidth="1"/>
    <col min="2544" max="2544" width="11.42578125" style="48" customWidth="1"/>
    <col min="2545" max="2545" width="11.140625" style="48" customWidth="1"/>
    <col min="2546" max="2546" width="11.42578125" style="48" customWidth="1"/>
    <col min="2547" max="2547" width="11" style="48" customWidth="1"/>
    <col min="2548" max="2548" width="10.140625" style="48" customWidth="1"/>
    <col min="2549" max="2549" width="11.5703125" style="48" customWidth="1"/>
    <col min="2550" max="2550" width="9.5703125" style="48" bestFit="1" customWidth="1"/>
    <col min="2551" max="2552" width="9.140625" style="48"/>
    <col min="2553" max="2553" width="10.7109375" style="48" customWidth="1"/>
    <col min="2554" max="2554" width="10.85546875" style="48" customWidth="1"/>
    <col min="2555" max="2555" width="10.42578125" style="48" customWidth="1"/>
    <col min="2556" max="2556" width="12.85546875" style="48" customWidth="1"/>
    <col min="2557" max="2557" width="12.7109375" style="48" customWidth="1"/>
    <col min="2558" max="2558" width="11.85546875" style="48" customWidth="1"/>
    <col min="2559" max="2559" width="10.42578125" style="48" customWidth="1"/>
    <col min="2560" max="2560" width="12.42578125" style="48" customWidth="1"/>
    <col min="2561" max="2561" width="12.140625" style="48" customWidth="1"/>
    <col min="2562" max="2562" width="10.85546875" style="48" customWidth="1"/>
    <col min="2563" max="2563" width="10.28515625" style="48" customWidth="1"/>
    <col min="2564" max="2564" width="11.28515625" style="48" customWidth="1"/>
    <col min="2565" max="2565" width="11.5703125" style="48" customWidth="1"/>
    <col min="2566" max="2566" width="11.28515625" style="48" customWidth="1"/>
    <col min="2567" max="2567" width="11.42578125" style="48" customWidth="1"/>
    <col min="2568" max="2797" width="9.140625" style="48"/>
    <col min="2798" max="2798" width="4.85546875" style="48" customWidth="1"/>
    <col min="2799" max="2799" width="22.140625" style="48" customWidth="1"/>
    <col min="2800" max="2800" width="11.42578125" style="48" customWidth="1"/>
    <col min="2801" max="2801" width="11.140625" style="48" customWidth="1"/>
    <col min="2802" max="2802" width="11.42578125" style="48" customWidth="1"/>
    <col min="2803" max="2803" width="11" style="48" customWidth="1"/>
    <col min="2804" max="2804" width="10.140625" style="48" customWidth="1"/>
    <col min="2805" max="2805" width="11.5703125" style="48" customWidth="1"/>
    <col min="2806" max="2806" width="9.5703125" style="48" bestFit="1" customWidth="1"/>
    <col min="2807" max="2808" width="9.140625" style="48"/>
    <col min="2809" max="2809" width="10.7109375" style="48" customWidth="1"/>
    <col min="2810" max="2810" width="10.85546875" style="48" customWidth="1"/>
    <col min="2811" max="2811" width="10.42578125" style="48" customWidth="1"/>
    <col min="2812" max="2812" width="12.85546875" style="48" customWidth="1"/>
    <col min="2813" max="2813" width="12.7109375" style="48" customWidth="1"/>
    <col min="2814" max="2814" width="11.85546875" style="48" customWidth="1"/>
    <col min="2815" max="2815" width="10.42578125" style="48" customWidth="1"/>
    <col min="2816" max="2816" width="12.42578125" style="48" customWidth="1"/>
    <col min="2817" max="2817" width="12.140625" style="48" customWidth="1"/>
    <col min="2818" max="2818" width="10.85546875" style="48" customWidth="1"/>
    <col min="2819" max="2819" width="10.28515625" style="48" customWidth="1"/>
    <col min="2820" max="2820" width="11.28515625" style="48" customWidth="1"/>
    <col min="2821" max="2821" width="11.5703125" style="48" customWidth="1"/>
    <col min="2822" max="2822" width="11.28515625" style="48" customWidth="1"/>
    <col min="2823" max="2823" width="11.42578125" style="48" customWidth="1"/>
    <col min="2824" max="3053" width="9.140625" style="48"/>
    <col min="3054" max="3054" width="4.85546875" style="48" customWidth="1"/>
    <col min="3055" max="3055" width="22.140625" style="48" customWidth="1"/>
    <col min="3056" max="3056" width="11.42578125" style="48" customWidth="1"/>
    <col min="3057" max="3057" width="11.140625" style="48" customWidth="1"/>
    <col min="3058" max="3058" width="11.42578125" style="48" customWidth="1"/>
    <col min="3059" max="3059" width="11" style="48" customWidth="1"/>
    <col min="3060" max="3060" width="10.140625" style="48" customWidth="1"/>
    <col min="3061" max="3061" width="11.5703125" style="48" customWidth="1"/>
    <col min="3062" max="3062" width="9.5703125" style="48" bestFit="1" customWidth="1"/>
    <col min="3063" max="3064" width="9.140625" style="48"/>
    <col min="3065" max="3065" width="10.7109375" style="48" customWidth="1"/>
    <col min="3066" max="3066" width="10.85546875" style="48" customWidth="1"/>
    <col min="3067" max="3067" width="10.42578125" style="48" customWidth="1"/>
    <col min="3068" max="3068" width="12.85546875" style="48" customWidth="1"/>
    <col min="3069" max="3069" width="12.7109375" style="48" customWidth="1"/>
    <col min="3070" max="3070" width="11.85546875" style="48" customWidth="1"/>
    <col min="3071" max="3071" width="10.42578125" style="48" customWidth="1"/>
    <col min="3072" max="3072" width="12.42578125" style="48" customWidth="1"/>
    <col min="3073" max="3073" width="12.140625" style="48" customWidth="1"/>
    <col min="3074" max="3074" width="10.85546875" style="48" customWidth="1"/>
    <col min="3075" max="3075" width="10.28515625" style="48" customWidth="1"/>
    <col min="3076" max="3076" width="11.28515625" style="48" customWidth="1"/>
    <col min="3077" max="3077" width="11.5703125" style="48" customWidth="1"/>
    <col min="3078" max="3078" width="11.28515625" style="48" customWidth="1"/>
    <col min="3079" max="3079" width="11.42578125" style="48" customWidth="1"/>
    <col min="3080" max="3309" width="9.140625" style="48"/>
    <col min="3310" max="3310" width="4.85546875" style="48" customWidth="1"/>
    <col min="3311" max="3311" width="22.140625" style="48" customWidth="1"/>
    <col min="3312" max="3312" width="11.42578125" style="48" customWidth="1"/>
    <col min="3313" max="3313" width="11.140625" style="48" customWidth="1"/>
    <col min="3314" max="3314" width="11.42578125" style="48" customWidth="1"/>
    <col min="3315" max="3315" width="11" style="48" customWidth="1"/>
    <col min="3316" max="3316" width="10.140625" style="48" customWidth="1"/>
    <col min="3317" max="3317" width="11.5703125" style="48" customWidth="1"/>
    <col min="3318" max="3318" width="9.5703125" style="48" bestFit="1" customWidth="1"/>
    <col min="3319" max="3320" width="9.140625" style="48"/>
    <col min="3321" max="3321" width="10.7109375" style="48" customWidth="1"/>
    <col min="3322" max="3322" width="10.85546875" style="48" customWidth="1"/>
    <col min="3323" max="3323" width="10.42578125" style="48" customWidth="1"/>
    <col min="3324" max="3324" width="12.85546875" style="48" customWidth="1"/>
    <col min="3325" max="3325" width="12.7109375" style="48" customWidth="1"/>
    <col min="3326" max="3326" width="11.85546875" style="48" customWidth="1"/>
    <col min="3327" max="3327" width="10.42578125" style="48" customWidth="1"/>
    <col min="3328" max="3328" width="12.42578125" style="48" customWidth="1"/>
    <col min="3329" max="3329" width="12.140625" style="48" customWidth="1"/>
    <col min="3330" max="3330" width="10.85546875" style="48" customWidth="1"/>
    <col min="3331" max="3331" width="10.28515625" style="48" customWidth="1"/>
    <col min="3332" max="3332" width="11.28515625" style="48" customWidth="1"/>
    <col min="3333" max="3333" width="11.5703125" style="48" customWidth="1"/>
    <col min="3334" max="3334" width="11.28515625" style="48" customWidth="1"/>
    <col min="3335" max="3335" width="11.42578125" style="48" customWidth="1"/>
    <col min="3336" max="3565" width="9.140625" style="48"/>
    <col min="3566" max="3566" width="4.85546875" style="48" customWidth="1"/>
    <col min="3567" max="3567" width="22.140625" style="48" customWidth="1"/>
    <col min="3568" max="3568" width="11.42578125" style="48" customWidth="1"/>
    <col min="3569" max="3569" width="11.140625" style="48" customWidth="1"/>
    <col min="3570" max="3570" width="11.42578125" style="48" customWidth="1"/>
    <col min="3571" max="3571" width="11" style="48" customWidth="1"/>
    <col min="3572" max="3572" width="10.140625" style="48" customWidth="1"/>
    <col min="3573" max="3573" width="11.5703125" style="48" customWidth="1"/>
    <col min="3574" max="3574" width="9.5703125" style="48" bestFit="1" customWidth="1"/>
    <col min="3575" max="3576" width="9.140625" style="48"/>
    <col min="3577" max="3577" width="10.7109375" style="48" customWidth="1"/>
    <col min="3578" max="3578" width="10.85546875" style="48" customWidth="1"/>
    <col min="3579" max="3579" width="10.42578125" style="48" customWidth="1"/>
    <col min="3580" max="3580" width="12.85546875" style="48" customWidth="1"/>
    <col min="3581" max="3581" width="12.7109375" style="48" customWidth="1"/>
    <col min="3582" max="3582" width="11.85546875" style="48" customWidth="1"/>
    <col min="3583" max="3583" width="10.42578125" style="48" customWidth="1"/>
    <col min="3584" max="3584" width="12.42578125" style="48" customWidth="1"/>
    <col min="3585" max="3585" width="12.140625" style="48" customWidth="1"/>
    <col min="3586" max="3586" width="10.85546875" style="48" customWidth="1"/>
    <col min="3587" max="3587" width="10.28515625" style="48" customWidth="1"/>
    <col min="3588" max="3588" width="11.28515625" style="48" customWidth="1"/>
    <col min="3589" max="3589" width="11.5703125" style="48" customWidth="1"/>
    <col min="3590" max="3590" width="11.28515625" style="48" customWidth="1"/>
    <col min="3591" max="3591" width="11.42578125" style="48" customWidth="1"/>
    <col min="3592" max="3821" width="9.140625" style="48"/>
    <col min="3822" max="3822" width="4.85546875" style="48" customWidth="1"/>
    <col min="3823" max="3823" width="22.140625" style="48" customWidth="1"/>
    <col min="3824" max="3824" width="11.42578125" style="48" customWidth="1"/>
    <col min="3825" max="3825" width="11.140625" style="48" customWidth="1"/>
    <col min="3826" max="3826" width="11.42578125" style="48" customWidth="1"/>
    <col min="3827" max="3827" width="11" style="48" customWidth="1"/>
    <col min="3828" max="3828" width="10.140625" style="48" customWidth="1"/>
    <col min="3829" max="3829" width="11.5703125" style="48" customWidth="1"/>
    <col min="3830" max="3830" width="9.5703125" style="48" bestFit="1" customWidth="1"/>
    <col min="3831" max="3832" width="9.140625" style="48"/>
    <col min="3833" max="3833" width="10.7109375" style="48" customWidth="1"/>
    <col min="3834" max="3834" width="10.85546875" style="48" customWidth="1"/>
    <col min="3835" max="3835" width="10.42578125" style="48" customWidth="1"/>
    <col min="3836" max="3836" width="12.85546875" style="48" customWidth="1"/>
    <col min="3837" max="3837" width="12.7109375" style="48" customWidth="1"/>
    <col min="3838" max="3838" width="11.85546875" style="48" customWidth="1"/>
    <col min="3839" max="3839" width="10.42578125" style="48" customWidth="1"/>
    <col min="3840" max="3840" width="12.42578125" style="48" customWidth="1"/>
    <col min="3841" max="3841" width="12.140625" style="48" customWidth="1"/>
    <col min="3842" max="3842" width="10.85546875" style="48" customWidth="1"/>
    <col min="3843" max="3843" width="10.28515625" style="48" customWidth="1"/>
    <col min="3844" max="3844" width="11.28515625" style="48" customWidth="1"/>
    <col min="3845" max="3845" width="11.5703125" style="48" customWidth="1"/>
    <col min="3846" max="3846" width="11.28515625" style="48" customWidth="1"/>
    <col min="3847" max="3847" width="11.42578125" style="48" customWidth="1"/>
    <col min="3848" max="4077" width="9.140625" style="48"/>
    <col min="4078" max="4078" width="4.85546875" style="48" customWidth="1"/>
    <col min="4079" max="4079" width="22.140625" style="48" customWidth="1"/>
    <col min="4080" max="4080" width="11.42578125" style="48" customWidth="1"/>
    <col min="4081" max="4081" width="11.140625" style="48" customWidth="1"/>
    <col min="4082" max="4082" width="11.42578125" style="48" customWidth="1"/>
    <col min="4083" max="4083" width="11" style="48" customWidth="1"/>
    <col min="4084" max="4084" width="10.140625" style="48" customWidth="1"/>
    <col min="4085" max="4085" width="11.5703125" style="48" customWidth="1"/>
    <col min="4086" max="4086" width="9.5703125" style="48" bestFit="1" customWidth="1"/>
    <col min="4087" max="4088" width="9.140625" style="48"/>
    <col min="4089" max="4089" width="10.7109375" style="48" customWidth="1"/>
    <col min="4090" max="4090" width="10.85546875" style="48" customWidth="1"/>
    <col min="4091" max="4091" width="10.42578125" style="48" customWidth="1"/>
    <col min="4092" max="4092" width="12.85546875" style="48" customWidth="1"/>
    <col min="4093" max="4093" width="12.7109375" style="48" customWidth="1"/>
    <col min="4094" max="4094" width="11.85546875" style="48" customWidth="1"/>
    <col min="4095" max="4095" width="10.42578125" style="48" customWidth="1"/>
    <col min="4096" max="4096" width="12.42578125" style="48" customWidth="1"/>
    <col min="4097" max="4097" width="12.140625" style="48" customWidth="1"/>
    <col min="4098" max="4098" width="10.85546875" style="48" customWidth="1"/>
    <col min="4099" max="4099" width="10.28515625" style="48" customWidth="1"/>
    <col min="4100" max="4100" width="11.28515625" style="48" customWidth="1"/>
    <col min="4101" max="4101" width="11.5703125" style="48" customWidth="1"/>
    <col min="4102" max="4102" width="11.28515625" style="48" customWidth="1"/>
    <col min="4103" max="4103" width="11.42578125" style="48" customWidth="1"/>
    <col min="4104" max="4333" width="9.140625" style="48"/>
    <col min="4334" max="4334" width="4.85546875" style="48" customWidth="1"/>
    <col min="4335" max="4335" width="22.140625" style="48" customWidth="1"/>
    <col min="4336" max="4336" width="11.42578125" style="48" customWidth="1"/>
    <col min="4337" max="4337" width="11.140625" style="48" customWidth="1"/>
    <col min="4338" max="4338" width="11.42578125" style="48" customWidth="1"/>
    <col min="4339" max="4339" width="11" style="48" customWidth="1"/>
    <col min="4340" max="4340" width="10.140625" style="48" customWidth="1"/>
    <col min="4341" max="4341" width="11.5703125" style="48" customWidth="1"/>
    <col min="4342" max="4342" width="9.5703125" style="48" bestFit="1" customWidth="1"/>
    <col min="4343" max="4344" width="9.140625" style="48"/>
    <col min="4345" max="4345" width="10.7109375" style="48" customWidth="1"/>
    <col min="4346" max="4346" width="10.85546875" style="48" customWidth="1"/>
    <col min="4347" max="4347" width="10.42578125" style="48" customWidth="1"/>
    <col min="4348" max="4348" width="12.85546875" style="48" customWidth="1"/>
    <col min="4349" max="4349" width="12.7109375" style="48" customWidth="1"/>
    <col min="4350" max="4350" width="11.85546875" style="48" customWidth="1"/>
    <col min="4351" max="4351" width="10.42578125" style="48" customWidth="1"/>
    <col min="4352" max="4352" width="12.42578125" style="48" customWidth="1"/>
    <col min="4353" max="4353" width="12.140625" style="48" customWidth="1"/>
    <col min="4354" max="4354" width="10.85546875" style="48" customWidth="1"/>
    <col min="4355" max="4355" width="10.28515625" style="48" customWidth="1"/>
    <col min="4356" max="4356" width="11.28515625" style="48" customWidth="1"/>
    <col min="4357" max="4357" width="11.5703125" style="48" customWidth="1"/>
    <col min="4358" max="4358" width="11.28515625" style="48" customWidth="1"/>
    <col min="4359" max="4359" width="11.42578125" style="48" customWidth="1"/>
    <col min="4360" max="4589" width="9.140625" style="48"/>
    <col min="4590" max="4590" width="4.85546875" style="48" customWidth="1"/>
    <col min="4591" max="4591" width="22.140625" style="48" customWidth="1"/>
    <col min="4592" max="4592" width="11.42578125" style="48" customWidth="1"/>
    <col min="4593" max="4593" width="11.140625" style="48" customWidth="1"/>
    <col min="4594" max="4594" width="11.42578125" style="48" customWidth="1"/>
    <col min="4595" max="4595" width="11" style="48" customWidth="1"/>
    <col min="4596" max="4596" width="10.140625" style="48" customWidth="1"/>
    <col min="4597" max="4597" width="11.5703125" style="48" customWidth="1"/>
    <col min="4598" max="4598" width="9.5703125" style="48" bestFit="1" customWidth="1"/>
    <col min="4599" max="4600" width="9.140625" style="48"/>
    <col min="4601" max="4601" width="10.7109375" style="48" customWidth="1"/>
    <col min="4602" max="4602" width="10.85546875" style="48" customWidth="1"/>
    <col min="4603" max="4603" width="10.42578125" style="48" customWidth="1"/>
    <col min="4604" max="4604" width="12.85546875" style="48" customWidth="1"/>
    <col min="4605" max="4605" width="12.7109375" style="48" customWidth="1"/>
    <col min="4606" max="4606" width="11.85546875" style="48" customWidth="1"/>
    <col min="4607" max="4607" width="10.42578125" style="48" customWidth="1"/>
    <col min="4608" max="4608" width="12.42578125" style="48" customWidth="1"/>
    <col min="4609" max="4609" width="12.140625" style="48" customWidth="1"/>
    <col min="4610" max="4610" width="10.85546875" style="48" customWidth="1"/>
    <col min="4611" max="4611" width="10.28515625" style="48" customWidth="1"/>
    <col min="4612" max="4612" width="11.28515625" style="48" customWidth="1"/>
    <col min="4613" max="4613" width="11.5703125" style="48" customWidth="1"/>
    <col min="4614" max="4614" width="11.28515625" style="48" customWidth="1"/>
    <col min="4615" max="4615" width="11.42578125" style="48" customWidth="1"/>
    <col min="4616" max="4845" width="9.140625" style="48"/>
    <col min="4846" max="4846" width="4.85546875" style="48" customWidth="1"/>
    <col min="4847" max="4847" width="22.140625" style="48" customWidth="1"/>
    <col min="4848" max="4848" width="11.42578125" style="48" customWidth="1"/>
    <col min="4849" max="4849" width="11.140625" style="48" customWidth="1"/>
    <col min="4850" max="4850" width="11.42578125" style="48" customWidth="1"/>
    <col min="4851" max="4851" width="11" style="48" customWidth="1"/>
    <col min="4852" max="4852" width="10.140625" style="48" customWidth="1"/>
    <col min="4853" max="4853" width="11.5703125" style="48" customWidth="1"/>
    <col min="4854" max="4854" width="9.5703125" style="48" bestFit="1" customWidth="1"/>
    <col min="4855" max="4856" width="9.140625" style="48"/>
    <col min="4857" max="4857" width="10.7109375" style="48" customWidth="1"/>
    <col min="4858" max="4858" width="10.85546875" style="48" customWidth="1"/>
    <col min="4859" max="4859" width="10.42578125" style="48" customWidth="1"/>
    <col min="4860" max="4860" width="12.85546875" style="48" customWidth="1"/>
    <col min="4861" max="4861" width="12.7109375" style="48" customWidth="1"/>
    <col min="4862" max="4862" width="11.85546875" style="48" customWidth="1"/>
    <col min="4863" max="4863" width="10.42578125" style="48" customWidth="1"/>
    <col min="4864" max="4864" width="12.42578125" style="48" customWidth="1"/>
    <col min="4865" max="4865" width="12.140625" style="48" customWidth="1"/>
    <col min="4866" max="4866" width="10.85546875" style="48" customWidth="1"/>
    <col min="4867" max="4867" width="10.28515625" style="48" customWidth="1"/>
    <col min="4868" max="4868" width="11.28515625" style="48" customWidth="1"/>
    <col min="4869" max="4869" width="11.5703125" style="48" customWidth="1"/>
    <col min="4870" max="4870" width="11.28515625" style="48" customWidth="1"/>
    <col min="4871" max="4871" width="11.42578125" style="48" customWidth="1"/>
    <col min="4872" max="5101" width="9.140625" style="48"/>
    <col min="5102" max="5102" width="4.85546875" style="48" customWidth="1"/>
    <col min="5103" max="5103" width="22.140625" style="48" customWidth="1"/>
    <col min="5104" max="5104" width="11.42578125" style="48" customWidth="1"/>
    <col min="5105" max="5105" width="11.140625" style="48" customWidth="1"/>
    <col min="5106" max="5106" width="11.42578125" style="48" customWidth="1"/>
    <col min="5107" max="5107" width="11" style="48" customWidth="1"/>
    <col min="5108" max="5108" width="10.140625" style="48" customWidth="1"/>
    <col min="5109" max="5109" width="11.5703125" style="48" customWidth="1"/>
    <col min="5110" max="5110" width="9.5703125" style="48" bestFit="1" customWidth="1"/>
    <col min="5111" max="5112" width="9.140625" style="48"/>
    <col min="5113" max="5113" width="10.7109375" style="48" customWidth="1"/>
    <col min="5114" max="5114" width="10.85546875" style="48" customWidth="1"/>
    <col min="5115" max="5115" width="10.42578125" style="48" customWidth="1"/>
    <col min="5116" max="5116" width="12.85546875" style="48" customWidth="1"/>
    <col min="5117" max="5117" width="12.7109375" style="48" customWidth="1"/>
    <col min="5118" max="5118" width="11.85546875" style="48" customWidth="1"/>
    <col min="5119" max="5119" width="10.42578125" style="48" customWidth="1"/>
    <col min="5120" max="5120" width="12.42578125" style="48" customWidth="1"/>
    <col min="5121" max="5121" width="12.140625" style="48" customWidth="1"/>
    <col min="5122" max="5122" width="10.85546875" style="48" customWidth="1"/>
    <col min="5123" max="5123" width="10.28515625" style="48" customWidth="1"/>
    <col min="5124" max="5124" width="11.28515625" style="48" customWidth="1"/>
    <col min="5125" max="5125" width="11.5703125" style="48" customWidth="1"/>
    <col min="5126" max="5126" width="11.28515625" style="48" customWidth="1"/>
    <col min="5127" max="5127" width="11.42578125" style="48" customWidth="1"/>
    <col min="5128" max="5357" width="9.140625" style="48"/>
    <col min="5358" max="5358" width="4.85546875" style="48" customWidth="1"/>
    <col min="5359" max="5359" width="22.140625" style="48" customWidth="1"/>
    <col min="5360" max="5360" width="11.42578125" style="48" customWidth="1"/>
    <col min="5361" max="5361" width="11.140625" style="48" customWidth="1"/>
    <col min="5362" max="5362" width="11.42578125" style="48" customWidth="1"/>
    <col min="5363" max="5363" width="11" style="48" customWidth="1"/>
    <col min="5364" max="5364" width="10.140625" style="48" customWidth="1"/>
    <col min="5365" max="5365" width="11.5703125" style="48" customWidth="1"/>
    <col min="5366" max="5366" width="9.5703125" style="48" bestFit="1" customWidth="1"/>
    <col min="5367" max="5368" width="9.140625" style="48"/>
    <col min="5369" max="5369" width="10.7109375" style="48" customWidth="1"/>
    <col min="5370" max="5370" width="10.85546875" style="48" customWidth="1"/>
    <col min="5371" max="5371" width="10.42578125" style="48" customWidth="1"/>
    <col min="5372" max="5372" width="12.85546875" style="48" customWidth="1"/>
    <col min="5373" max="5373" width="12.7109375" style="48" customWidth="1"/>
    <col min="5374" max="5374" width="11.85546875" style="48" customWidth="1"/>
    <col min="5375" max="5375" width="10.42578125" style="48" customWidth="1"/>
    <col min="5376" max="5376" width="12.42578125" style="48" customWidth="1"/>
    <col min="5377" max="5377" width="12.140625" style="48" customWidth="1"/>
    <col min="5378" max="5378" width="10.85546875" style="48" customWidth="1"/>
    <col min="5379" max="5379" width="10.28515625" style="48" customWidth="1"/>
    <col min="5380" max="5380" width="11.28515625" style="48" customWidth="1"/>
    <col min="5381" max="5381" width="11.5703125" style="48" customWidth="1"/>
    <col min="5382" max="5382" width="11.28515625" style="48" customWidth="1"/>
    <col min="5383" max="5383" width="11.42578125" style="48" customWidth="1"/>
    <col min="5384" max="5613" width="9.140625" style="48"/>
    <col min="5614" max="5614" width="4.85546875" style="48" customWidth="1"/>
    <col min="5615" max="5615" width="22.140625" style="48" customWidth="1"/>
    <col min="5616" max="5616" width="11.42578125" style="48" customWidth="1"/>
    <col min="5617" max="5617" width="11.140625" style="48" customWidth="1"/>
    <col min="5618" max="5618" width="11.42578125" style="48" customWidth="1"/>
    <col min="5619" max="5619" width="11" style="48" customWidth="1"/>
    <col min="5620" max="5620" width="10.140625" style="48" customWidth="1"/>
    <col min="5621" max="5621" width="11.5703125" style="48" customWidth="1"/>
    <col min="5622" max="5622" width="9.5703125" style="48" bestFit="1" customWidth="1"/>
    <col min="5623" max="5624" width="9.140625" style="48"/>
    <col min="5625" max="5625" width="10.7109375" style="48" customWidth="1"/>
    <col min="5626" max="5626" width="10.85546875" style="48" customWidth="1"/>
    <col min="5627" max="5627" width="10.42578125" style="48" customWidth="1"/>
    <col min="5628" max="5628" width="12.85546875" style="48" customWidth="1"/>
    <col min="5629" max="5629" width="12.7109375" style="48" customWidth="1"/>
    <col min="5630" max="5630" width="11.85546875" style="48" customWidth="1"/>
    <col min="5631" max="5631" width="10.42578125" style="48" customWidth="1"/>
    <col min="5632" max="5632" width="12.42578125" style="48" customWidth="1"/>
    <col min="5633" max="5633" width="12.140625" style="48" customWidth="1"/>
    <col min="5634" max="5634" width="10.85546875" style="48" customWidth="1"/>
    <col min="5635" max="5635" width="10.28515625" style="48" customWidth="1"/>
    <col min="5636" max="5636" width="11.28515625" style="48" customWidth="1"/>
    <col min="5637" max="5637" width="11.5703125" style="48" customWidth="1"/>
    <col min="5638" max="5638" width="11.28515625" style="48" customWidth="1"/>
    <col min="5639" max="5639" width="11.42578125" style="48" customWidth="1"/>
    <col min="5640" max="5869" width="9.140625" style="48"/>
    <col min="5870" max="5870" width="4.85546875" style="48" customWidth="1"/>
    <col min="5871" max="5871" width="22.140625" style="48" customWidth="1"/>
    <col min="5872" max="5872" width="11.42578125" style="48" customWidth="1"/>
    <col min="5873" max="5873" width="11.140625" style="48" customWidth="1"/>
    <col min="5874" max="5874" width="11.42578125" style="48" customWidth="1"/>
    <col min="5875" max="5875" width="11" style="48" customWidth="1"/>
    <col min="5876" max="5876" width="10.140625" style="48" customWidth="1"/>
    <col min="5877" max="5877" width="11.5703125" style="48" customWidth="1"/>
    <col min="5878" max="5878" width="9.5703125" style="48" bestFit="1" customWidth="1"/>
    <col min="5879" max="5880" width="9.140625" style="48"/>
    <col min="5881" max="5881" width="10.7109375" style="48" customWidth="1"/>
    <col min="5882" max="5882" width="10.85546875" style="48" customWidth="1"/>
    <col min="5883" max="5883" width="10.42578125" style="48" customWidth="1"/>
    <col min="5884" max="5884" width="12.85546875" style="48" customWidth="1"/>
    <col min="5885" max="5885" width="12.7109375" style="48" customWidth="1"/>
    <col min="5886" max="5886" width="11.85546875" style="48" customWidth="1"/>
    <col min="5887" max="5887" width="10.42578125" style="48" customWidth="1"/>
    <col min="5888" max="5888" width="12.42578125" style="48" customWidth="1"/>
    <col min="5889" max="5889" width="12.140625" style="48" customWidth="1"/>
    <col min="5890" max="5890" width="10.85546875" style="48" customWidth="1"/>
    <col min="5891" max="5891" width="10.28515625" style="48" customWidth="1"/>
    <col min="5892" max="5892" width="11.28515625" style="48" customWidth="1"/>
    <col min="5893" max="5893" width="11.5703125" style="48" customWidth="1"/>
    <col min="5894" max="5894" width="11.28515625" style="48" customWidth="1"/>
    <col min="5895" max="5895" width="11.42578125" style="48" customWidth="1"/>
    <col min="5896" max="6125" width="9.140625" style="48"/>
    <col min="6126" max="6126" width="4.85546875" style="48" customWidth="1"/>
    <col min="6127" max="6127" width="22.140625" style="48" customWidth="1"/>
    <col min="6128" max="6128" width="11.42578125" style="48" customWidth="1"/>
    <col min="6129" max="6129" width="11.140625" style="48" customWidth="1"/>
    <col min="6130" max="6130" width="11.42578125" style="48" customWidth="1"/>
    <col min="6131" max="6131" width="11" style="48" customWidth="1"/>
    <col min="6132" max="6132" width="10.140625" style="48" customWidth="1"/>
    <col min="6133" max="6133" width="11.5703125" style="48" customWidth="1"/>
    <col min="6134" max="6134" width="9.5703125" style="48" bestFit="1" customWidth="1"/>
    <col min="6135" max="6136" width="9.140625" style="48"/>
    <col min="6137" max="6137" width="10.7109375" style="48" customWidth="1"/>
    <col min="6138" max="6138" width="10.85546875" style="48" customWidth="1"/>
    <col min="6139" max="6139" width="10.42578125" style="48" customWidth="1"/>
    <col min="6140" max="6140" width="12.85546875" style="48" customWidth="1"/>
    <col min="6141" max="6141" width="12.7109375" style="48" customWidth="1"/>
    <col min="6142" max="6142" width="11.85546875" style="48" customWidth="1"/>
    <col min="6143" max="6143" width="10.42578125" style="48" customWidth="1"/>
    <col min="6144" max="6144" width="12.42578125" style="48" customWidth="1"/>
    <col min="6145" max="6145" width="12.140625" style="48" customWidth="1"/>
    <col min="6146" max="6146" width="10.85546875" style="48" customWidth="1"/>
    <col min="6147" max="6147" width="10.28515625" style="48" customWidth="1"/>
    <col min="6148" max="6148" width="11.28515625" style="48" customWidth="1"/>
    <col min="6149" max="6149" width="11.5703125" style="48" customWidth="1"/>
    <col min="6150" max="6150" width="11.28515625" style="48" customWidth="1"/>
    <col min="6151" max="6151" width="11.42578125" style="48" customWidth="1"/>
    <col min="6152" max="6381" width="9.140625" style="48"/>
    <col min="6382" max="6382" width="4.85546875" style="48" customWidth="1"/>
    <col min="6383" max="6383" width="22.140625" style="48" customWidth="1"/>
    <col min="6384" max="6384" width="11.42578125" style="48" customWidth="1"/>
    <col min="6385" max="6385" width="11.140625" style="48" customWidth="1"/>
    <col min="6386" max="6386" width="11.42578125" style="48" customWidth="1"/>
    <col min="6387" max="6387" width="11" style="48" customWidth="1"/>
    <col min="6388" max="6388" width="10.140625" style="48" customWidth="1"/>
    <col min="6389" max="6389" width="11.5703125" style="48" customWidth="1"/>
    <col min="6390" max="6390" width="9.5703125" style="48" bestFit="1" customWidth="1"/>
    <col min="6391" max="6392" width="9.140625" style="48"/>
    <col min="6393" max="6393" width="10.7109375" style="48" customWidth="1"/>
    <col min="6394" max="6394" width="10.85546875" style="48" customWidth="1"/>
    <col min="6395" max="6395" width="10.42578125" style="48" customWidth="1"/>
    <col min="6396" max="6396" width="12.85546875" style="48" customWidth="1"/>
    <col min="6397" max="6397" width="12.7109375" style="48" customWidth="1"/>
    <col min="6398" max="6398" width="11.85546875" style="48" customWidth="1"/>
    <col min="6399" max="6399" width="10.42578125" style="48" customWidth="1"/>
    <col min="6400" max="6400" width="12.42578125" style="48" customWidth="1"/>
    <col min="6401" max="6401" width="12.140625" style="48" customWidth="1"/>
    <col min="6402" max="6402" width="10.85546875" style="48" customWidth="1"/>
    <col min="6403" max="6403" width="10.28515625" style="48" customWidth="1"/>
    <col min="6404" max="6404" width="11.28515625" style="48" customWidth="1"/>
    <col min="6405" max="6405" width="11.5703125" style="48" customWidth="1"/>
    <col min="6406" max="6406" width="11.28515625" style="48" customWidth="1"/>
    <col min="6407" max="6407" width="11.42578125" style="48" customWidth="1"/>
    <col min="6408" max="6637" width="9.140625" style="48"/>
    <col min="6638" max="6638" width="4.85546875" style="48" customWidth="1"/>
    <col min="6639" max="6639" width="22.140625" style="48" customWidth="1"/>
    <col min="6640" max="6640" width="11.42578125" style="48" customWidth="1"/>
    <col min="6641" max="6641" width="11.140625" style="48" customWidth="1"/>
    <col min="6642" max="6642" width="11.42578125" style="48" customWidth="1"/>
    <col min="6643" max="6643" width="11" style="48" customWidth="1"/>
    <col min="6644" max="6644" width="10.140625" style="48" customWidth="1"/>
    <col min="6645" max="6645" width="11.5703125" style="48" customWidth="1"/>
    <col min="6646" max="6646" width="9.5703125" style="48" bestFit="1" customWidth="1"/>
    <col min="6647" max="6648" width="9.140625" style="48"/>
    <col min="6649" max="6649" width="10.7109375" style="48" customWidth="1"/>
    <col min="6650" max="6650" width="10.85546875" style="48" customWidth="1"/>
    <col min="6651" max="6651" width="10.42578125" style="48" customWidth="1"/>
    <col min="6652" max="6652" width="12.85546875" style="48" customWidth="1"/>
    <col min="6653" max="6653" width="12.7109375" style="48" customWidth="1"/>
    <col min="6654" max="6654" width="11.85546875" style="48" customWidth="1"/>
    <col min="6655" max="6655" width="10.42578125" style="48" customWidth="1"/>
    <col min="6656" max="6656" width="12.42578125" style="48" customWidth="1"/>
    <col min="6657" max="6657" width="12.140625" style="48" customWidth="1"/>
    <col min="6658" max="6658" width="10.85546875" style="48" customWidth="1"/>
    <col min="6659" max="6659" width="10.28515625" style="48" customWidth="1"/>
    <col min="6660" max="6660" width="11.28515625" style="48" customWidth="1"/>
    <col min="6661" max="6661" width="11.5703125" style="48" customWidth="1"/>
    <col min="6662" max="6662" width="11.28515625" style="48" customWidth="1"/>
    <col min="6663" max="6663" width="11.42578125" style="48" customWidth="1"/>
    <col min="6664" max="6893" width="9.140625" style="48"/>
    <col min="6894" max="6894" width="4.85546875" style="48" customWidth="1"/>
    <col min="6895" max="6895" width="22.140625" style="48" customWidth="1"/>
    <col min="6896" max="6896" width="11.42578125" style="48" customWidth="1"/>
    <col min="6897" max="6897" width="11.140625" style="48" customWidth="1"/>
    <col min="6898" max="6898" width="11.42578125" style="48" customWidth="1"/>
    <col min="6899" max="6899" width="11" style="48" customWidth="1"/>
    <col min="6900" max="6900" width="10.140625" style="48" customWidth="1"/>
    <col min="6901" max="6901" width="11.5703125" style="48" customWidth="1"/>
    <col min="6902" max="6902" width="9.5703125" style="48" bestFit="1" customWidth="1"/>
    <col min="6903" max="6904" width="9.140625" style="48"/>
    <col min="6905" max="6905" width="10.7109375" style="48" customWidth="1"/>
    <col min="6906" max="6906" width="10.85546875" style="48" customWidth="1"/>
    <col min="6907" max="6907" width="10.42578125" style="48" customWidth="1"/>
    <col min="6908" max="6908" width="12.85546875" style="48" customWidth="1"/>
    <col min="6909" max="6909" width="12.7109375" style="48" customWidth="1"/>
    <col min="6910" max="6910" width="11.85546875" style="48" customWidth="1"/>
    <col min="6911" max="6911" width="10.42578125" style="48" customWidth="1"/>
    <col min="6912" max="6912" width="12.42578125" style="48" customWidth="1"/>
    <col min="6913" max="6913" width="12.140625" style="48" customWidth="1"/>
    <col min="6914" max="6914" width="10.85546875" style="48" customWidth="1"/>
    <col min="6915" max="6915" width="10.28515625" style="48" customWidth="1"/>
    <col min="6916" max="6916" width="11.28515625" style="48" customWidth="1"/>
    <col min="6917" max="6917" width="11.5703125" style="48" customWidth="1"/>
    <col min="6918" max="6918" width="11.28515625" style="48" customWidth="1"/>
    <col min="6919" max="6919" width="11.42578125" style="48" customWidth="1"/>
    <col min="6920" max="7149" width="9.140625" style="48"/>
    <col min="7150" max="7150" width="4.85546875" style="48" customWidth="1"/>
    <col min="7151" max="7151" width="22.140625" style="48" customWidth="1"/>
    <col min="7152" max="7152" width="11.42578125" style="48" customWidth="1"/>
    <col min="7153" max="7153" width="11.140625" style="48" customWidth="1"/>
    <col min="7154" max="7154" width="11.42578125" style="48" customWidth="1"/>
    <col min="7155" max="7155" width="11" style="48" customWidth="1"/>
    <col min="7156" max="7156" width="10.140625" style="48" customWidth="1"/>
    <col min="7157" max="7157" width="11.5703125" style="48" customWidth="1"/>
    <col min="7158" max="7158" width="9.5703125" style="48" bestFit="1" customWidth="1"/>
    <col min="7159" max="7160" width="9.140625" style="48"/>
    <col min="7161" max="7161" width="10.7109375" style="48" customWidth="1"/>
    <col min="7162" max="7162" width="10.85546875" style="48" customWidth="1"/>
    <col min="7163" max="7163" width="10.42578125" style="48" customWidth="1"/>
    <col min="7164" max="7164" width="12.85546875" style="48" customWidth="1"/>
    <col min="7165" max="7165" width="12.7109375" style="48" customWidth="1"/>
    <col min="7166" max="7166" width="11.85546875" style="48" customWidth="1"/>
    <col min="7167" max="7167" width="10.42578125" style="48" customWidth="1"/>
    <col min="7168" max="7168" width="12.42578125" style="48" customWidth="1"/>
    <col min="7169" max="7169" width="12.140625" style="48" customWidth="1"/>
    <col min="7170" max="7170" width="10.85546875" style="48" customWidth="1"/>
    <col min="7171" max="7171" width="10.28515625" style="48" customWidth="1"/>
    <col min="7172" max="7172" width="11.28515625" style="48" customWidth="1"/>
    <col min="7173" max="7173" width="11.5703125" style="48" customWidth="1"/>
    <col min="7174" max="7174" width="11.28515625" style="48" customWidth="1"/>
    <col min="7175" max="7175" width="11.42578125" style="48" customWidth="1"/>
    <col min="7176" max="7405" width="9.140625" style="48"/>
    <col min="7406" max="7406" width="4.85546875" style="48" customWidth="1"/>
    <col min="7407" max="7407" width="22.140625" style="48" customWidth="1"/>
    <col min="7408" max="7408" width="11.42578125" style="48" customWidth="1"/>
    <col min="7409" max="7409" width="11.140625" style="48" customWidth="1"/>
    <col min="7410" max="7410" width="11.42578125" style="48" customWidth="1"/>
    <col min="7411" max="7411" width="11" style="48" customWidth="1"/>
    <col min="7412" max="7412" width="10.140625" style="48" customWidth="1"/>
    <col min="7413" max="7413" width="11.5703125" style="48" customWidth="1"/>
    <col min="7414" max="7414" width="9.5703125" style="48" bestFit="1" customWidth="1"/>
    <col min="7415" max="7416" width="9.140625" style="48"/>
    <col min="7417" max="7417" width="10.7109375" style="48" customWidth="1"/>
    <col min="7418" max="7418" width="10.85546875" style="48" customWidth="1"/>
    <col min="7419" max="7419" width="10.42578125" style="48" customWidth="1"/>
    <col min="7420" max="7420" width="12.85546875" style="48" customWidth="1"/>
    <col min="7421" max="7421" width="12.7109375" style="48" customWidth="1"/>
    <col min="7422" max="7422" width="11.85546875" style="48" customWidth="1"/>
    <col min="7423" max="7423" width="10.42578125" style="48" customWidth="1"/>
    <col min="7424" max="7424" width="12.42578125" style="48" customWidth="1"/>
    <col min="7425" max="7425" width="12.140625" style="48" customWidth="1"/>
    <col min="7426" max="7426" width="10.85546875" style="48" customWidth="1"/>
    <col min="7427" max="7427" width="10.28515625" style="48" customWidth="1"/>
    <col min="7428" max="7428" width="11.28515625" style="48" customWidth="1"/>
    <col min="7429" max="7429" width="11.5703125" style="48" customWidth="1"/>
    <col min="7430" max="7430" width="11.28515625" style="48" customWidth="1"/>
    <col min="7431" max="7431" width="11.42578125" style="48" customWidth="1"/>
    <col min="7432" max="7661" width="9.140625" style="48"/>
    <col min="7662" max="7662" width="4.85546875" style="48" customWidth="1"/>
    <col min="7663" max="7663" width="22.140625" style="48" customWidth="1"/>
    <col min="7664" max="7664" width="11.42578125" style="48" customWidth="1"/>
    <col min="7665" max="7665" width="11.140625" style="48" customWidth="1"/>
    <col min="7666" max="7666" width="11.42578125" style="48" customWidth="1"/>
    <col min="7667" max="7667" width="11" style="48" customWidth="1"/>
    <col min="7668" max="7668" width="10.140625" style="48" customWidth="1"/>
    <col min="7669" max="7669" width="11.5703125" style="48" customWidth="1"/>
    <col min="7670" max="7670" width="9.5703125" style="48" bestFit="1" customWidth="1"/>
    <col min="7671" max="7672" width="9.140625" style="48"/>
    <col min="7673" max="7673" width="10.7109375" style="48" customWidth="1"/>
    <col min="7674" max="7674" width="10.85546875" style="48" customWidth="1"/>
    <col min="7675" max="7675" width="10.42578125" style="48" customWidth="1"/>
    <col min="7676" max="7676" width="12.85546875" style="48" customWidth="1"/>
    <col min="7677" max="7677" width="12.7109375" style="48" customWidth="1"/>
    <col min="7678" max="7678" width="11.85546875" style="48" customWidth="1"/>
    <col min="7679" max="7679" width="10.42578125" style="48" customWidth="1"/>
    <col min="7680" max="7680" width="12.42578125" style="48" customWidth="1"/>
    <col min="7681" max="7681" width="12.140625" style="48" customWidth="1"/>
    <col min="7682" max="7682" width="10.85546875" style="48" customWidth="1"/>
    <col min="7683" max="7683" width="10.28515625" style="48" customWidth="1"/>
    <col min="7684" max="7684" width="11.28515625" style="48" customWidth="1"/>
    <col min="7685" max="7685" width="11.5703125" style="48" customWidth="1"/>
    <col min="7686" max="7686" width="11.28515625" style="48" customWidth="1"/>
    <col min="7687" max="7687" width="11.42578125" style="48" customWidth="1"/>
    <col min="7688" max="7917" width="9.140625" style="48"/>
    <col min="7918" max="7918" width="4.85546875" style="48" customWidth="1"/>
    <col min="7919" max="7919" width="22.140625" style="48" customWidth="1"/>
    <col min="7920" max="7920" width="11.42578125" style="48" customWidth="1"/>
    <col min="7921" max="7921" width="11.140625" style="48" customWidth="1"/>
    <col min="7922" max="7922" width="11.42578125" style="48" customWidth="1"/>
    <col min="7923" max="7923" width="11" style="48" customWidth="1"/>
    <col min="7924" max="7924" width="10.140625" style="48" customWidth="1"/>
    <col min="7925" max="7925" width="11.5703125" style="48" customWidth="1"/>
    <col min="7926" max="7926" width="9.5703125" style="48" bestFit="1" customWidth="1"/>
    <col min="7927" max="7928" width="9.140625" style="48"/>
    <col min="7929" max="7929" width="10.7109375" style="48" customWidth="1"/>
    <col min="7930" max="7930" width="10.85546875" style="48" customWidth="1"/>
    <col min="7931" max="7931" width="10.42578125" style="48" customWidth="1"/>
    <col min="7932" max="7932" width="12.85546875" style="48" customWidth="1"/>
    <col min="7933" max="7933" width="12.7109375" style="48" customWidth="1"/>
    <col min="7934" max="7934" width="11.85546875" style="48" customWidth="1"/>
    <col min="7935" max="7935" width="10.42578125" style="48" customWidth="1"/>
    <col min="7936" max="7936" width="12.42578125" style="48" customWidth="1"/>
    <col min="7937" max="7937" width="12.140625" style="48" customWidth="1"/>
    <col min="7938" max="7938" width="10.85546875" style="48" customWidth="1"/>
    <col min="7939" max="7939" width="10.28515625" style="48" customWidth="1"/>
    <col min="7940" max="7940" width="11.28515625" style="48" customWidth="1"/>
    <col min="7941" max="7941" width="11.5703125" style="48" customWidth="1"/>
    <col min="7942" max="7942" width="11.28515625" style="48" customWidth="1"/>
    <col min="7943" max="7943" width="11.42578125" style="48" customWidth="1"/>
    <col min="7944" max="8173" width="9.140625" style="48"/>
    <col min="8174" max="8174" width="4.85546875" style="48" customWidth="1"/>
    <col min="8175" max="8175" width="22.140625" style="48" customWidth="1"/>
    <col min="8176" max="8176" width="11.42578125" style="48" customWidth="1"/>
    <col min="8177" max="8177" width="11.140625" style="48" customWidth="1"/>
    <col min="8178" max="8178" width="11.42578125" style="48" customWidth="1"/>
    <col min="8179" max="8179" width="11" style="48" customWidth="1"/>
    <col min="8180" max="8180" width="10.140625" style="48" customWidth="1"/>
    <col min="8181" max="8181" width="11.5703125" style="48" customWidth="1"/>
    <col min="8182" max="8182" width="9.5703125" style="48" bestFit="1" customWidth="1"/>
    <col min="8183" max="8184" width="9.140625" style="48"/>
    <col min="8185" max="8185" width="10.7109375" style="48" customWidth="1"/>
    <col min="8186" max="8186" width="10.85546875" style="48" customWidth="1"/>
    <col min="8187" max="8187" width="10.42578125" style="48" customWidth="1"/>
    <col min="8188" max="8188" width="12.85546875" style="48" customWidth="1"/>
    <col min="8189" max="8189" width="12.7109375" style="48" customWidth="1"/>
    <col min="8190" max="8190" width="11.85546875" style="48" customWidth="1"/>
    <col min="8191" max="8191" width="10.42578125" style="48" customWidth="1"/>
    <col min="8192" max="8192" width="12.42578125" style="48" customWidth="1"/>
    <col min="8193" max="8193" width="12.140625" style="48" customWidth="1"/>
    <col min="8194" max="8194" width="10.85546875" style="48" customWidth="1"/>
    <col min="8195" max="8195" width="10.28515625" style="48" customWidth="1"/>
    <col min="8196" max="8196" width="11.28515625" style="48" customWidth="1"/>
    <col min="8197" max="8197" width="11.5703125" style="48" customWidth="1"/>
    <col min="8198" max="8198" width="11.28515625" style="48" customWidth="1"/>
    <col min="8199" max="8199" width="11.42578125" style="48" customWidth="1"/>
    <col min="8200" max="8429" width="9.140625" style="48"/>
    <col min="8430" max="8430" width="4.85546875" style="48" customWidth="1"/>
    <col min="8431" max="8431" width="22.140625" style="48" customWidth="1"/>
    <col min="8432" max="8432" width="11.42578125" style="48" customWidth="1"/>
    <col min="8433" max="8433" width="11.140625" style="48" customWidth="1"/>
    <col min="8434" max="8434" width="11.42578125" style="48" customWidth="1"/>
    <col min="8435" max="8435" width="11" style="48" customWidth="1"/>
    <col min="8436" max="8436" width="10.140625" style="48" customWidth="1"/>
    <col min="8437" max="8437" width="11.5703125" style="48" customWidth="1"/>
    <col min="8438" max="8438" width="9.5703125" style="48" bestFit="1" customWidth="1"/>
    <col min="8439" max="8440" width="9.140625" style="48"/>
    <col min="8441" max="8441" width="10.7109375" style="48" customWidth="1"/>
    <col min="8442" max="8442" width="10.85546875" style="48" customWidth="1"/>
    <col min="8443" max="8443" width="10.42578125" style="48" customWidth="1"/>
    <col min="8444" max="8444" width="12.85546875" style="48" customWidth="1"/>
    <col min="8445" max="8445" width="12.7109375" style="48" customWidth="1"/>
    <col min="8446" max="8446" width="11.85546875" style="48" customWidth="1"/>
    <col min="8447" max="8447" width="10.42578125" style="48" customWidth="1"/>
    <col min="8448" max="8448" width="12.42578125" style="48" customWidth="1"/>
    <col min="8449" max="8449" width="12.140625" style="48" customWidth="1"/>
    <col min="8450" max="8450" width="10.85546875" style="48" customWidth="1"/>
    <col min="8451" max="8451" width="10.28515625" style="48" customWidth="1"/>
    <col min="8452" max="8452" width="11.28515625" style="48" customWidth="1"/>
    <col min="8453" max="8453" width="11.5703125" style="48" customWidth="1"/>
    <col min="8454" max="8454" width="11.28515625" style="48" customWidth="1"/>
    <col min="8455" max="8455" width="11.42578125" style="48" customWidth="1"/>
    <col min="8456" max="8685" width="9.140625" style="48"/>
    <col min="8686" max="8686" width="4.85546875" style="48" customWidth="1"/>
    <col min="8687" max="8687" width="22.140625" style="48" customWidth="1"/>
    <col min="8688" max="8688" width="11.42578125" style="48" customWidth="1"/>
    <col min="8689" max="8689" width="11.140625" style="48" customWidth="1"/>
    <col min="8690" max="8690" width="11.42578125" style="48" customWidth="1"/>
    <col min="8691" max="8691" width="11" style="48" customWidth="1"/>
    <col min="8692" max="8692" width="10.140625" style="48" customWidth="1"/>
    <col min="8693" max="8693" width="11.5703125" style="48" customWidth="1"/>
    <col min="8694" max="8694" width="9.5703125" style="48" bestFit="1" customWidth="1"/>
    <col min="8695" max="8696" width="9.140625" style="48"/>
    <col min="8697" max="8697" width="10.7109375" style="48" customWidth="1"/>
    <col min="8698" max="8698" width="10.85546875" style="48" customWidth="1"/>
    <col min="8699" max="8699" width="10.42578125" style="48" customWidth="1"/>
    <col min="8700" max="8700" width="12.85546875" style="48" customWidth="1"/>
    <col min="8701" max="8701" width="12.7109375" style="48" customWidth="1"/>
    <col min="8702" max="8702" width="11.85546875" style="48" customWidth="1"/>
    <col min="8703" max="8703" width="10.42578125" style="48" customWidth="1"/>
    <col min="8704" max="8704" width="12.42578125" style="48" customWidth="1"/>
    <col min="8705" max="8705" width="12.140625" style="48" customWidth="1"/>
    <col min="8706" max="8706" width="10.85546875" style="48" customWidth="1"/>
    <col min="8707" max="8707" width="10.28515625" style="48" customWidth="1"/>
    <col min="8708" max="8708" width="11.28515625" style="48" customWidth="1"/>
    <col min="8709" max="8709" width="11.5703125" style="48" customWidth="1"/>
    <col min="8710" max="8710" width="11.28515625" style="48" customWidth="1"/>
    <col min="8711" max="8711" width="11.42578125" style="48" customWidth="1"/>
    <col min="8712" max="8941" width="9.140625" style="48"/>
    <col min="8942" max="8942" width="4.85546875" style="48" customWidth="1"/>
    <col min="8943" max="8943" width="22.140625" style="48" customWidth="1"/>
    <col min="8944" max="8944" width="11.42578125" style="48" customWidth="1"/>
    <col min="8945" max="8945" width="11.140625" style="48" customWidth="1"/>
    <col min="8946" max="8946" width="11.42578125" style="48" customWidth="1"/>
    <col min="8947" max="8947" width="11" style="48" customWidth="1"/>
    <col min="8948" max="8948" width="10.140625" style="48" customWidth="1"/>
    <col min="8949" max="8949" width="11.5703125" style="48" customWidth="1"/>
    <col min="8950" max="8950" width="9.5703125" style="48" bestFit="1" customWidth="1"/>
    <col min="8951" max="8952" width="9.140625" style="48"/>
    <col min="8953" max="8953" width="10.7109375" style="48" customWidth="1"/>
    <col min="8954" max="8954" width="10.85546875" style="48" customWidth="1"/>
    <col min="8955" max="8955" width="10.42578125" style="48" customWidth="1"/>
    <col min="8956" max="8956" width="12.85546875" style="48" customWidth="1"/>
    <col min="8957" max="8957" width="12.7109375" style="48" customWidth="1"/>
    <col min="8958" max="8958" width="11.85546875" style="48" customWidth="1"/>
    <col min="8959" max="8959" width="10.42578125" style="48" customWidth="1"/>
    <col min="8960" max="8960" width="12.42578125" style="48" customWidth="1"/>
    <col min="8961" max="8961" width="12.140625" style="48" customWidth="1"/>
    <col min="8962" max="8962" width="10.85546875" style="48" customWidth="1"/>
    <col min="8963" max="8963" width="10.28515625" style="48" customWidth="1"/>
    <col min="8964" max="8964" width="11.28515625" style="48" customWidth="1"/>
    <col min="8965" max="8965" width="11.5703125" style="48" customWidth="1"/>
    <col min="8966" max="8966" width="11.28515625" style="48" customWidth="1"/>
    <col min="8967" max="8967" width="11.42578125" style="48" customWidth="1"/>
    <col min="8968" max="9197" width="9.140625" style="48"/>
    <col min="9198" max="9198" width="4.85546875" style="48" customWidth="1"/>
    <col min="9199" max="9199" width="22.140625" style="48" customWidth="1"/>
    <col min="9200" max="9200" width="11.42578125" style="48" customWidth="1"/>
    <col min="9201" max="9201" width="11.140625" style="48" customWidth="1"/>
    <col min="9202" max="9202" width="11.42578125" style="48" customWidth="1"/>
    <col min="9203" max="9203" width="11" style="48" customWidth="1"/>
    <col min="9204" max="9204" width="10.140625" style="48" customWidth="1"/>
    <col min="9205" max="9205" width="11.5703125" style="48" customWidth="1"/>
    <col min="9206" max="9206" width="9.5703125" style="48" bestFit="1" customWidth="1"/>
    <col min="9207" max="9208" width="9.140625" style="48"/>
    <col min="9209" max="9209" width="10.7109375" style="48" customWidth="1"/>
    <col min="9210" max="9210" width="10.85546875" style="48" customWidth="1"/>
    <col min="9211" max="9211" width="10.42578125" style="48" customWidth="1"/>
    <col min="9212" max="9212" width="12.85546875" style="48" customWidth="1"/>
    <col min="9213" max="9213" width="12.7109375" style="48" customWidth="1"/>
    <col min="9214" max="9214" width="11.85546875" style="48" customWidth="1"/>
    <col min="9215" max="9215" width="10.42578125" style="48" customWidth="1"/>
    <col min="9216" max="9216" width="12.42578125" style="48" customWidth="1"/>
    <col min="9217" max="9217" width="12.140625" style="48" customWidth="1"/>
    <col min="9218" max="9218" width="10.85546875" style="48" customWidth="1"/>
    <col min="9219" max="9219" width="10.28515625" style="48" customWidth="1"/>
    <col min="9220" max="9220" width="11.28515625" style="48" customWidth="1"/>
    <col min="9221" max="9221" width="11.5703125" style="48" customWidth="1"/>
    <col min="9222" max="9222" width="11.28515625" style="48" customWidth="1"/>
    <col min="9223" max="9223" width="11.42578125" style="48" customWidth="1"/>
    <col min="9224" max="9453" width="9.140625" style="48"/>
    <col min="9454" max="9454" width="4.85546875" style="48" customWidth="1"/>
    <col min="9455" max="9455" width="22.140625" style="48" customWidth="1"/>
    <col min="9456" max="9456" width="11.42578125" style="48" customWidth="1"/>
    <col min="9457" max="9457" width="11.140625" style="48" customWidth="1"/>
    <col min="9458" max="9458" width="11.42578125" style="48" customWidth="1"/>
    <col min="9459" max="9459" width="11" style="48" customWidth="1"/>
    <col min="9460" max="9460" width="10.140625" style="48" customWidth="1"/>
    <col min="9461" max="9461" width="11.5703125" style="48" customWidth="1"/>
    <col min="9462" max="9462" width="9.5703125" style="48" bestFit="1" customWidth="1"/>
    <col min="9463" max="9464" width="9.140625" style="48"/>
    <col min="9465" max="9465" width="10.7109375" style="48" customWidth="1"/>
    <col min="9466" max="9466" width="10.85546875" style="48" customWidth="1"/>
    <col min="9467" max="9467" width="10.42578125" style="48" customWidth="1"/>
    <col min="9468" max="9468" width="12.85546875" style="48" customWidth="1"/>
    <col min="9469" max="9469" width="12.7109375" style="48" customWidth="1"/>
    <col min="9470" max="9470" width="11.85546875" style="48" customWidth="1"/>
    <col min="9471" max="9471" width="10.42578125" style="48" customWidth="1"/>
    <col min="9472" max="9472" width="12.42578125" style="48" customWidth="1"/>
    <col min="9473" max="9473" width="12.140625" style="48" customWidth="1"/>
    <col min="9474" max="9474" width="10.85546875" style="48" customWidth="1"/>
    <col min="9475" max="9475" width="10.28515625" style="48" customWidth="1"/>
    <col min="9476" max="9476" width="11.28515625" style="48" customWidth="1"/>
    <col min="9477" max="9477" width="11.5703125" style="48" customWidth="1"/>
    <col min="9478" max="9478" width="11.28515625" style="48" customWidth="1"/>
    <col min="9479" max="9479" width="11.42578125" style="48" customWidth="1"/>
    <col min="9480" max="9709" width="9.140625" style="48"/>
    <col min="9710" max="9710" width="4.85546875" style="48" customWidth="1"/>
    <col min="9711" max="9711" width="22.140625" style="48" customWidth="1"/>
    <col min="9712" max="9712" width="11.42578125" style="48" customWidth="1"/>
    <col min="9713" max="9713" width="11.140625" style="48" customWidth="1"/>
    <col min="9714" max="9714" width="11.42578125" style="48" customWidth="1"/>
    <col min="9715" max="9715" width="11" style="48" customWidth="1"/>
    <col min="9716" max="9716" width="10.140625" style="48" customWidth="1"/>
    <col min="9717" max="9717" width="11.5703125" style="48" customWidth="1"/>
    <col min="9718" max="9718" width="9.5703125" style="48" bestFit="1" customWidth="1"/>
    <col min="9719" max="9720" width="9.140625" style="48"/>
    <col min="9721" max="9721" width="10.7109375" style="48" customWidth="1"/>
    <col min="9722" max="9722" width="10.85546875" style="48" customWidth="1"/>
    <col min="9723" max="9723" width="10.42578125" style="48" customWidth="1"/>
    <col min="9724" max="9724" width="12.85546875" style="48" customWidth="1"/>
    <col min="9725" max="9725" width="12.7109375" style="48" customWidth="1"/>
    <col min="9726" max="9726" width="11.85546875" style="48" customWidth="1"/>
    <col min="9727" max="9727" width="10.42578125" style="48" customWidth="1"/>
    <col min="9728" max="9728" width="12.42578125" style="48" customWidth="1"/>
    <col min="9729" max="9729" width="12.140625" style="48" customWidth="1"/>
    <col min="9730" max="9730" width="10.85546875" style="48" customWidth="1"/>
    <col min="9731" max="9731" width="10.28515625" style="48" customWidth="1"/>
    <col min="9732" max="9732" width="11.28515625" style="48" customWidth="1"/>
    <col min="9733" max="9733" width="11.5703125" style="48" customWidth="1"/>
    <col min="9734" max="9734" width="11.28515625" style="48" customWidth="1"/>
    <col min="9735" max="9735" width="11.42578125" style="48" customWidth="1"/>
    <col min="9736" max="9965" width="9.140625" style="48"/>
    <col min="9966" max="9966" width="4.85546875" style="48" customWidth="1"/>
    <col min="9967" max="9967" width="22.140625" style="48" customWidth="1"/>
    <col min="9968" max="9968" width="11.42578125" style="48" customWidth="1"/>
    <col min="9969" max="9969" width="11.140625" style="48" customWidth="1"/>
    <col min="9970" max="9970" width="11.42578125" style="48" customWidth="1"/>
    <col min="9971" max="9971" width="11" style="48" customWidth="1"/>
    <col min="9972" max="9972" width="10.140625" style="48" customWidth="1"/>
    <col min="9973" max="9973" width="11.5703125" style="48" customWidth="1"/>
    <col min="9974" max="9974" width="9.5703125" style="48" bestFit="1" customWidth="1"/>
    <col min="9975" max="9976" width="9.140625" style="48"/>
    <col min="9977" max="9977" width="10.7109375" style="48" customWidth="1"/>
    <col min="9978" max="9978" width="10.85546875" style="48" customWidth="1"/>
    <col min="9979" max="9979" width="10.42578125" style="48" customWidth="1"/>
    <col min="9980" max="9980" width="12.85546875" style="48" customWidth="1"/>
    <col min="9981" max="9981" width="12.7109375" style="48" customWidth="1"/>
    <col min="9982" max="9982" width="11.85546875" style="48" customWidth="1"/>
    <col min="9983" max="9983" width="10.42578125" style="48" customWidth="1"/>
    <col min="9984" max="9984" width="12.42578125" style="48" customWidth="1"/>
    <col min="9985" max="9985" width="12.140625" style="48" customWidth="1"/>
    <col min="9986" max="9986" width="10.85546875" style="48" customWidth="1"/>
    <col min="9987" max="9987" width="10.28515625" style="48" customWidth="1"/>
    <col min="9988" max="9988" width="11.28515625" style="48" customWidth="1"/>
    <col min="9989" max="9989" width="11.5703125" style="48" customWidth="1"/>
    <col min="9990" max="9990" width="11.28515625" style="48" customWidth="1"/>
    <col min="9991" max="9991" width="11.42578125" style="48" customWidth="1"/>
    <col min="9992" max="10221" width="9.140625" style="48"/>
    <col min="10222" max="10222" width="4.85546875" style="48" customWidth="1"/>
    <col min="10223" max="10223" width="22.140625" style="48" customWidth="1"/>
    <col min="10224" max="10224" width="11.42578125" style="48" customWidth="1"/>
    <col min="10225" max="10225" width="11.140625" style="48" customWidth="1"/>
    <col min="10226" max="10226" width="11.42578125" style="48" customWidth="1"/>
    <col min="10227" max="10227" width="11" style="48" customWidth="1"/>
    <col min="10228" max="10228" width="10.140625" style="48" customWidth="1"/>
    <col min="10229" max="10229" width="11.5703125" style="48" customWidth="1"/>
    <col min="10230" max="10230" width="9.5703125" style="48" bestFit="1" customWidth="1"/>
    <col min="10231" max="10232" width="9.140625" style="48"/>
    <col min="10233" max="10233" width="10.7109375" style="48" customWidth="1"/>
    <col min="10234" max="10234" width="10.85546875" style="48" customWidth="1"/>
    <col min="10235" max="10235" width="10.42578125" style="48" customWidth="1"/>
    <col min="10236" max="10236" width="12.85546875" style="48" customWidth="1"/>
    <col min="10237" max="10237" width="12.7109375" style="48" customWidth="1"/>
    <col min="10238" max="10238" width="11.85546875" style="48" customWidth="1"/>
    <col min="10239" max="10239" width="10.42578125" style="48" customWidth="1"/>
    <col min="10240" max="10240" width="12.42578125" style="48" customWidth="1"/>
    <col min="10241" max="10241" width="12.140625" style="48" customWidth="1"/>
    <col min="10242" max="10242" width="10.85546875" style="48" customWidth="1"/>
    <col min="10243" max="10243" width="10.28515625" style="48" customWidth="1"/>
    <col min="10244" max="10244" width="11.28515625" style="48" customWidth="1"/>
    <col min="10245" max="10245" width="11.5703125" style="48" customWidth="1"/>
    <col min="10246" max="10246" width="11.28515625" style="48" customWidth="1"/>
    <col min="10247" max="10247" width="11.42578125" style="48" customWidth="1"/>
    <col min="10248" max="10477" width="9.140625" style="48"/>
    <col min="10478" max="10478" width="4.85546875" style="48" customWidth="1"/>
    <col min="10479" max="10479" width="22.140625" style="48" customWidth="1"/>
    <col min="10480" max="10480" width="11.42578125" style="48" customWidth="1"/>
    <col min="10481" max="10481" width="11.140625" style="48" customWidth="1"/>
    <col min="10482" max="10482" width="11.42578125" style="48" customWidth="1"/>
    <col min="10483" max="10483" width="11" style="48" customWidth="1"/>
    <col min="10484" max="10484" width="10.140625" style="48" customWidth="1"/>
    <col min="10485" max="10485" width="11.5703125" style="48" customWidth="1"/>
    <col min="10486" max="10486" width="9.5703125" style="48" bestFit="1" customWidth="1"/>
    <col min="10487" max="10488" width="9.140625" style="48"/>
    <col min="10489" max="10489" width="10.7109375" style="48" customWidth="1"/>
    <col min="10490" max="10490" width="10.85546875" style="48" customWidth="1"/>
    <col min="10491" max="10491" width="10.42578125" style="48" customWidth="1"/>
    <col min="10492" max="10492" width="12.85546875" style="48" customWidth="1"/>
    <col min="10493" max="10493" width="12.7109375" style="48" customWidth="1"/>
    <col min="10494" max="10494" width="11.85546875" style="48" customWidth="1"/>
    <col min="10495" max="10495" width="10.42578125" style="48" customWidth="1"/>
    <col min="10496" max="10496" width="12.42578125" style="48" customWidth="1"/>
    <col min="10497" max="10497" width="12.140625" style="48" customWidth="1"/>
    <col min="10498" max="10498" width="10.85546875" style="48" customWidth="1"/>
    <col min="10499" max="10499" width="10.28515625" style="48" customWidth="1"/>
    <col min="10500" max="10500" width="11.28515625" style="48" customWidth="1"/>
    <col min="10501" max="10501" width="11.5703125" style="48" customWidth="1"/>
    <col min="10502" max="10502" width="11.28515625" style="48" customWidth="1"/>
    <col min="10503" max="10503" width="11.42578125" style="48" customWidth="1"/>
    <col min="10504" max="10733" width="9.140625" style="48"/>
    <col min="10734" max="10734" width="4.85546875" style="48" customWidth="1"/>
    <col min="10735" max="10735" width="22.140625" style="48" customWidth="1"/>
    <col min="10736" max="10736" width="11.42578125" style="48" customWidth="1"/>
    <col min="10737" max="10737" width="11.140625" style="48" customWidth="1"/>
    <col min="10738" max="10738" width="11.42578125" style="48" customWidth="1"/>
    <col min="10739" max="10739" width="11" style="48" customWidth="1"/>
    <col min="10740" max="10740" width="10.140625" style="48" customWidth="1"/>
    <col min="10741" max="10741" width="11.5703125" style="48" customWidth="1"/>
    <col min="10742" max="10742" width="9.5703125" style="48" bestFit="1" customWidth="1"/>
    <col min="10743" max="10744" width="9.140625" style="48"/>
    <col min="10745" max="10745" width="10.7109375" style="48" customWidth="1"/>
    <col min="10746" max="10746" width="10.85546875" style="48" customWidth="1"/>
    <col min="10747" max="10747" width="10.42578125" style="48" customWidth="1"/>
    <col min="10748" max="10748" width="12.85546875" style="48" customWidth="1"/>
    <col min="10749" max="10749" width="12.7109375" style="48" customWidth="1"/>
    <col min="10750" max="10750" width="11.85546875" style="48" customWidth="1"/>
    <col min="10751" max="10751" width="10.42578125" style="48" customWidth="1"/>
    <col min="10752" max="10752" width="12.42578125" style="48" customWidth="1"/>
    <col min="10753" max="10753" width="12.140625" style="48" customWidth="1"/>
    <col min="10754" max="10754" width="10.85546875" style="48" customWidth="1"/>
    <col min="10755" max="10755" width="10.28515625" style="48" customWidth="1"/>
    <col min="10756" max="10756" width="11.28515625" style="48" customWidth="1"/>
    <col min="10757" max="10757" width="11.5703125" style="48" customWidth="1"/>
    <col min="10758" max="10758" width="11.28515625" style="48" customWidth="1"/>
    <col min="10759" max="10759" width="11.42578125" style="48" customWidth="1"/>
    <col min="10760" max="10989" width="9.140625" style="48"/>
    <col min="10990" max="10990" width="4.85546875" style="48" customWidth="1"/>
    <col min="10991" max="10991" width="22.140625" style="48" customWidth="1"/>
    <col min="10992" max="10992" width="11.42578125" style="48" customWidth="1"/>
    <col min="10993" max="10993" width="11.140625" style="48" customWidth="1"/>
    <col min="10994" max="10994" width="11.42578125" style="48" customWidth="1"/>
    <col min="10995" max="10995" width="11" style="48" customWidth="1"/>
    <col min="10996" max="10996" width="10.140625" style="48" customWidth="1"/>
    <col min="10997" max="10997" width="11.5703125" style="48" customWidth="1"/>
    <col min="10998" max="10998" width="9.5703125" style="48" bestFit="1" customWidth="1"/>
    <col min="10999" max="11000" width="9.140625" style="48"/>
    <col min="11001" max="11001" width="10.7109375" style="48" customWidth="1"/>
    <col min="11002" max="11002" width="10.85546875" style="48" customWidth="1"/>
    <col min="11003" max="11003" width="10.42578125" style="48" customWidth="1"/>
    <col min="11004" max="11004" width="12.85546875" style="48" customWidth="1"/>
    <col min="11005" max="11005" width="12.7109375" style="48" customWidth="1"/>
    <col min="11006" max="11006" width="11.85546875" style="48" customWidth="1"/>
    <col min="11007" max="11007" width="10.42578125" style="48" customWidth="1"/>
    <col min="11008" max="11008" width="12.42578125" style="48" customWidth="1"/>
    <col min="11009" max="11009" width="12.140625" style="48" customWidth="1"/>
    <col min="11010" max="11010" width="10.85546875" style="48" customWidth="1"/>
    <col min="11011" max="11011" width="10.28515625" style="48" customWidth="1"/>
    <col min="11012" max="11012" width="11.28515625" style="48" customWidth="1"/>
    <col min="11013" max="11013" width="11.5703125" style="48" customWidth="1"/>
    <col min="11014" max="11014" width="11.28515625" style="48" customWidth="1"/>
    <col min="11015" max="11015" width="11.42578125" style="48" customWidth="1"/>
    <col min="11016" max="11245" width="9.140625" style="48"/>
    <col min="11246" max="11246" width="4.85546875" style="48" customWidth="1"/>
    <col min="11247" max="11247" width="22.140625" style="48" customWidth="1"/>
    <col min="11248" max="11248" width="11.42578125" style="48" customWidth="1"/>
    <col min="11249" max="11249" width="11.140625" style="48" customWidth="1"/>
    <col min="11250" max="11250" width="11.42578125" style="48" customWidth="1"/>
    <col min="11251" max="11251" width="11" style="48" customWidth="1"/>
    <col min="11252" max="11252" width="10.140625" style="48" customWidth="1"/>
    <col min="11253" max="11253" width="11.5703125" style="48" customWidth="1"/>
    <col min="11254" max="11254" width="9.5703125" style="48" bestFit="1" customWidth="1"/>
    <col min="11255" max="11256" width="9.140625" style="48"/>
    <col min="11257" max="11257" width="10.7109375" style="48" customWidth="1"/>
    <col min="11258" max="11258" width="10.85546875" style="48" customWidth="1"/>
    <col min="11259" max="11259" width="10.42578125" style="48" customWidth="1"/>
    <col min="11260" max="11260" width="12.85546875" style="48" customWidth="1"/>
    <col min="11261" max="11261" width="12.7109375" style="48" customWidth="1"/>
    <col min="11262" max="11262" width="11.85546875" style="48" customWidth="1"/>
    <col min="11263" max="11263" width="10.42578125" style="48" customWidth="1"/>
    <col min="11264" max="11264" width="12.42578125" style="48" customWidth="1"/>
    <col min="11265" max="11265" width="12.140625" style="48" customWidth="1"/>
    <col min="11266" max="11266" width="10.85546875" style="48" customWidth="1"/>
    <col min="11267" max="11267" width="10.28515625" style="48" customWidth="1"/>
    <col min="11268" max="11268" width="11.28515625" style="48" customWidth="1"/>
    <col min="11269" max="11269" width="11.5703125" style="48" customWidth="1"/>
    <col min="11270" max="11270" width="11.28515625" style="48" customWidth="1"/>
    <col min="11271" max="11271" width="11.42578125" style="48" customWidth="1"/>
    <col min="11272" max="11501" width="9.140625" style="48"/>
    <col min="11502" max="11502" width="4.85546875" style="48" customWidth="1"/>
    <col min="11503" max="11503" width="22.140625" style="48" customWidth="1"/>
    <col min="11504" max="11504" width="11.42578125" style="48" customWidth="1"/>
    <col min="11505" max="11505" width="11.140625" style="48" customWidth="1"/>
    <col min="11506" max="11506" width="11.42578125" style="48" customWidth="1"/>
    <col min="11507" max="11507" width="11" style="48" customWidth="1"/>
    <col min="11508" max="11508" width="10.140625" style="48" customWidth="1"/>
    <col min="11509" max="11509" width="11.5703125" style="48" customWidth="1"/>
    <col min="11510" max="11510" width="9.5703125" style="48" bestFit="1" customWidth="1"/>
    <col min="11511" max="11512" width="9.140625" style="48"/>
    <col min="11513" max="11513" width="10.7109375" style="48" customWidth="1"/>
    <col min="11514" max="11514" width="10.85546875" style="48" customWidth="1"/>
    <col min="11515" max="11515" width="10.42578125" style="48" customWidth="1"/>
    <col min="11516" max="11516" width="12.85546875" style="48" customWidth="1"/>
    <col min="11517" max="11517" width="12.7109375" style="48" customWidth="1"/>
    <col min="11518" max="11518" width="11.85546875" style="48" customWidth="1"/>
    <col min="11519" max="11519" width="10.42578125" style="48" customWidth="1"/>
    <col min="11520" max="11520" width="12.42578125" style="48" customWidth="1"/>
    <col min="11521" max="11521" width="12.140625" style="48" customWidth="1"/>
    <col min="11522" max="11522" width="10.85546875" style="48" customWidth="1"/>
    <col min="11523" max="11523" width="10.28515625" style="48" customWidth="1"/>
    <col min="11524" max="11524" width="11.28515625" style="48" customWidth="1"/>
    <col min="11525" max="11525" width="11.5703125" style="48" customWidth="1"/>
    <col min="11526" max="11526" width="11.28515625" style="48" customWidth="1"/>
    <col min="11527" max="11527" width="11.42578125" style="48" customWidth="1"/>
    <col min="11528" max="11757" width="9.140625" style="48"/>
    <col min="11758" max="11758" width="4.85546875" style="48" customWidth="1"/>
    <col min="11759" max="11759" width="22.140625" style="48" customWidth="1"/>
    <col min="11760" max="11760" width="11.42578125" style="48" customWidth="1"/>
    <col min="11761" max="11761" width="11.140625" style="48" customWidth="1"/>
    <col min="11762" max="11762" width="11.42578125" style="48" customWidth="1"/>
    <col min="11763" max="11763" width="11" style="48" customWidth="1"/>
    <col min="11764" max="11764" width="10.140625" style="48" customWidth="1"/>
    <col min="11765" max="11765" width="11.5703125" style="48" customWidth="1"/>
    <col min="11766" max="11766" width="9.5703125" style="48" bestFit="1" customWidth="1"/>
    <col min="11767" max="11768" width="9.140625" style="48"/>
    <col min="11769" max="11769" width="10.7109375" style="48" customWidth="1"/>
    <col min="11770" max="11770" width="10.85546875" style="48" customWidth="1"/>
    <col min="11771" max="11771" width="10.42578125" style="48" customWidth="1"/>
    <col min="11772" max="11772" width="12.85546875" style="48" customWidth="1"/>
    <col min="11773" max="11773" width="12.7109375" style="48" customWidth="1"/>
    <col min="11774" max="11774" width="11.85546875" style="48" customWidth="1"/>
    <col min="11775" max="11775" width="10.42578125" style="48" customWidth="1"/>
    <col min="11776" max="11776" width="12.42578125" style="48" customWidth="1"/>
    <col min="11777" max="11777" width="12.140625" style="48" customWidth="1"/>
    <col min="11778" max="11778" width="10.85546875" style="48" customWidth="1"/>
    <col min="11779" max="11779" width="10.28515625" style="48" customWidth="1"/>
    <col min="11780" max="11780" width="11.28515625" style="48" customWidth="1"/>
    <col min="11781" max="11781" width="11.5703125" style="48" customWidth="1"/>
    <col min="11782" max="11782" width="11.28515625" style="48" customWidth="1"/>
    <col min="11783" max="11783" width="11.42578125" style="48" customWidth="1"/>
    <col min="11784" max="12013" width="9.140625" style="48"/>
    <col min="12014" max="12014" width="4.85546875" style="48" customWidth="1"/>
    <col min="12015" max="12015" width="22.140625" style="48" customWidth="1"/>
    <col min="12016" max="12016" width="11.42578125" style="48" customWidth="1"/>
    <col min="12017" max="12017" width="11.140625" style="48" customWidth="1"/>
    <col min="12018" max="12018" width="11.42578125" style="48" customWidth="1"/>
    <col min="12019" max="12019" width="11" style="48" customWidth="1"/>
    <col min="12020" max="12020" width="10.140625" style="48" customWidth="1"/>
    <col min="12021" max="12021" width="11.5703125" style="48" customWidth="1"/>
    <col min="12022" max="12022" width="9.5703125" style="48" bestFit="1" customWidth="1"/>
    <col min="12023" max="12024" width="9.140625" style="48"/>
    <col min="12025" max="12025" width="10.7109375" style="48" customWidth="1"/>
    <col min="12026" max="12026" width="10.85546875" style="48" customWidth="1"/>
    <col min="12027" max="12027" width="10.42578125" style="48" customWidth="1"/>
    <col min="12028" max="12028" width="12.85546875" style="48" customWidth="1"/>
    <col min="12029" max="12029" width="12.7109375" style="48" customWidth="1"/>
    <col min="12030" max="12030" width="11.85546875" style="48" customWidth="1"/>
    <col min="12031" max="12031" width="10.42578125" style="48" customWidth="1"/>
    <col min="12032" max="12032" width="12.42578125" style="48" customWidth="1"/>
    <col min="12033" max="12033" width="12.140625" style="48" customWidth="1"/>
    <col min="12034" max="12034" width="10.85546875" style="48" customWidth="1"/>
    <col min="12035" max="12035" width="10.28515625" style="48" customWidth="1"/>
    <col min="12036" max="12036" width="11.28515625" style="48" customWidth="1"/>
    <col min="12037" max="12037" width="11.5703125" style="48" customWidth="1"/>
    <col min="12038" max="12038" width="11.28515625" style="48" customWidth="1"/>
    <col min="12039" max="12039" width="11.42578125" style="48" customWidth="1"/>
    <col min="12040" max="12269" width="9.140625" style="48"/>
    <col min="12270" max="12270" width="4.85546875" style="48" customWidth="1"/>
    <col min="12271" max="12271" width="22.140625" style="48" customWidth="1"/>
    <col min="12272" max="12272" width="11.42578125" style="48" customWidth="1"/>
    <col min="12273" max="12273" width="11.140625" style="48" customWidth="1"/>
    <col min="12274" max="12274" width="11.42578125" style="48" customWidth="1"/>
    <col min="12275" max="12275" width="11" style="48" customWidth="1"/>
    <col min="12276" max="12276" width="10.140625" style="48" customWidth="1"/>
    <col min="12277" max="12277" width="11.5703125" style="48" customWidth="1"/>
    <col min="12278" max="12278" width="9.5703125" style="48" bestFit="1" customWidth="1"/>
    <col min="12279" max="12280" width="9.140625" style="48"/>
    <col min="12281" max="12281" width="10.7109375" style="48" customWidth="1"/>
    <col min="12282" max="12282" width="10.85546875" style="48" customWidth="1"/>
    <col min="12283" max="12283" width="10.42578125" style="48" customWidth="1"/>
    <col min="12284" max="12284" width="12.85546875" style="48" customWidth="1"/>
    <col min="12285" max="12285" width="12.7109375" style="48" customWidth="1"/>
    <col min="12286" max="12286" width="11.85546875" style="48" customWidth="1"/>
    <col min="12287" max="12287" width="10.42578125" style="48" customWidth="1"/>
    <col min="12288" max="12288" width="12.42578125" style="48" customWidth="1"/>
    <col min="12289" max="12289" width="12.140625" style="48" customWidth="1"/>
    <col min="12290" max="12290" width="10.85546875" style="48" customWidth="1"/>
    <col min="12291" max="12291" width="10.28515625" style="48" customWidth="1"/>
    <col min="12292" max="12292" width="11.28515625" style="48" customWidth="1"/>
    <col min="12293" max="12293" width="11.5703125" style="48" customWidth="1"/>
    <col min="12294" max="12294" width="11.28515625" style="48" customWidth="1"/>
    <col min="12295" max="12295" width="11.42578125" style="48" customWidth="1"/>
    <col min="12296" max="12525" width="9.140625" style="48"/>
    <col min="12526" max="12526" width="4.85546875" style="48" customWidth="1"/>
    <col min="12527" max="12527" width="22.140625" style="48" customWidth="1"/>
    <col min="12528" max="12528" width="11.42578125" style="48" customWidth="1"/>
    <col min="12529" max="12529" width="11.140625" style="48" customWidth="1"/>
    <col min="12530" max="12530" width="11.42578125" style="48" customWidth="1"/>
    <col min="12531" max="12531" width="11" style="48" customWidth="1"/>
    <col min="12532" max="12532" width="10.140625" style="48" customWidth="1"/>
    <col min="12533" max="12533" width="11.5703125" style="48" customWidth="1"/>
    <col min="12534" max="12534" width="9.5703125" style="48" bestFit="1" customWidth="1"/>
    <col min="12535" max="12536" width="9.140625" style="48"/>
    <col min="12537" max="12537" width="10.7109375" style="48" customWidth="1"/>
    <col min="12538" max="12538" width="10.85546875" style="48" customWidth="1"/>
    <col min="12539" max="12539" width="10.42578125" style="48" customWidth="1"/>
    <col min="12540" max="12540" width="12.85546875" style="48" customWidth="1"/>
    <col min="12541" max="12541" width="12.7109375" style="48" customWidth="1"/>
    <col min="12542" max="12542" width="11.85546875" style="48" customWidth="1"/>
    <col min="12543" max="12543" width="10.42578125" style="48" customWidth="1"/>
    <col min="12544" max="12544" width="12.42578125" style="48" customWidth="1"/>
    <col min="12545" max="12545" width="12.140625" style="48" customWidth="1"/>
    <col min="12546" max="12546" width="10.85546875" style="48" customWidth="1"/>
    <col min="12547" max="12547" width="10.28515625" style="48" customWidth="1"/>
    <col min="12548" max="12548" width="11.28515625" style="48" customWidth="1"/>
    <col min="12549" max="12549" width="11.5703125" style="48" customWidth="1"/>
    <col min="12550" max="12550" width="11.28515625" style="48" customWidth="1"/>
    <col min="12551" max="12551" width="11.42578125" style="48" customWidth="1"/>
    <col min="12552" max="12781" width="9.140625" style="48"/>
    <col min="12782" max="12782" width="4.85546875" style="48" customWidth="1"/>
    <col min="12783" max="12783" width="22.140625" style="48" customWidth="1"/>
    <col min="12784" max="12784" width="11.42578125" style="48" customWidth="1"/>
    <col min="12785" max="12785" width="11.140625" style="48" customWidth="1"/>
    <col min="12786" max="12786" width="11.42578125" style="48" customWidth="1"/>
    <col min="12787" max="12787" width="11" style="48" customWidth="1"/>
    <col min="12788" max="12788" width="10.140625" style="48" customWidth="1"/>
    <col min="12789" max="12789" width="11.5703125" style="48" customWidth="1"/>
    <col min="12790" max="12790" width="9.5703125" style="48" bestFit="1" customWidth="1"/>
    <col min="12791" max="12792" width="9.140625" style="48"/>
    <col min="12793" max="12793" width="10.7109375" style="48" customWidth="1"/>
    <col min="12794" max="12794" width="10.85546875" style="48" customWidth="1"/>
    <col min="12795" max="12795" width="10.42578125" style="48" customWidth="1"/>
    <col min="12796" max="12796" width="12.85546875" style="48" customWidth="1"/>
    <col min="12797" max="12797" width="12.7109375" style="48" customWidth="1"/>
    <col min="12798" max="12798" width="11.85546875" style="48" customWidth="1"/>
    <col min="12799" max="12799" width="10.42578125" style="48" customWidth="1"/>
    <col min="12800" max="12800" width="12.42578125" style="48" customWidth="1"/>
    <col min="12801" max="12801" width="12.140625" style="48" customWidth="1"/>
    <col min="12802" max="12802" width="10.85546875" style="48" customWidth="1"/>
    <col min="12803" max="12803" width="10.28515625" style="48" customWidth="1"/>
    <col min="12804" max="12804" width="11.28515625" style="48" customWidth="1"/>
    <col min="12805" max="12805" width="11.5703125" style="48" customWidth="1"/>
    <col min="12806" max="12806" width="11.28515625" style="48" customWidth="1"/>
    <col min="12807" max="12807" width="11.42578125" style="48" customWidth="1"/>
    <col min="12808" max="13037" width="9.140625" style="48"/>
    <col min="13038" max="13038" width="4.85546875" style="48" customWidth="1"/>
    <col min="13039" max="13039" width="22.140625" style="48" customWidth="1"/>
    <col min="13040" max="13040" width="11.42578125" style="48" customWidth="1"/>
    <col min="13041" max="13041" width="11.140625" style="48" customWidth="1"/>
    <col min="13042" max="13042" width="11.42578125" style="48" customWidth="1"/>
    <col min="13043" max="13043" width="11" style="48" customWidth="1"/>
    <col min="13044" max="13044" width="10.140625" style="48" customWidth="1"/>
    <col min="13045" max="13045" width="11.5703125" style="48" customWidth="1"/>
    <col min="13046" max="13046" width="9.5703125" style="48" bestFit="1" customWidth="1"/>
    <col min="13047" max="13048" width="9.140625" style="48"/>
    <col min="13049" max="13049" width="10.7109375" style="48" customWidth="1"/>
    <col min="13050" max="13050" width="10.85546875" style="48" customWidth="1"/>
    <col min="13051" max="13051" width="10.42578125" style="48" customWidth="1"/>
    <col min="13052" max="13052" width="12.85546875" style="48" customWidth="1"/>
    <col min="13053" max="13053" width="12.7109375" style="48" customWidth="1"/>
    <col min="13054" max="13054" width="11.85546875" style="48" customWidth="1"/>
    <col min="13055" max="13055" width="10.42578125" style="48" customWidth="1"/>
    <col min="13056" max="13056" width="12.42578125" style="48" customWidth="1"/>
    <col min="13057" max="13057" width="12.140625" style="48" customWidth="1"/>
    <col min="13058" max="13058" width="10.85546875" style="48" customWidth="1"/>
    <col min="13059" max="13059" width="10.28515625" style="48" customWidth="1"/>
    <col min="13060" max="13060" width="11.28515625" style="48" customWidth="1"/>
    <col min="13061" max="13061" width="11.5703125" style="48" customWidth="1"/>
    <col min="13062" max="13062" width="11.28515625" style="48" customWidth="1"/>
    <col min="13063" max="13063" width="11.42578125" style="48" customWidth="1"/>
    <col min="13064" max="13293" width="9.140625" style="48"/>
    <col min="13294" max="13294" width="4.85546875" style="48" customWidth="1"/>
    <col min="13295" max="13295" width="22.140625" style="48" customWidth="1"/>
    <col min="13296" max="13296" width="11.42578125" style="48" customWidth="1"/>
    <col min="13297" max="13297" width="11.140625" style="48" customWidth="1"/>
    <col min="13298" max="13298" width="11.42578125" style="48" customWidth="1"/>
    <col min="13299" max="13299" width="11" style="48" customWidth="1"/>
    <col min="13300" max="13300" width="10.140625" style="48" customWidth="1"/>
    <col min="13301" max="13301" width="11.5703125" style="48" customWidth="1"/>
    <col min="13302" max="13302" width="9.5703125" style="48" bestFit="1" customWidth="1"/>
    <col min="13303" max="13304" width="9.140625" style="48"/>
    <col min="13305" max="13305" width="10.7109375" style="48" customWidth="1"/>
    <col min="13306" max="13306" width="10.85546875" style="48" customWidth="1"/>
    <col min="13307" max="13307" width="10.42578125" style="48" customWidth="1"/>
    <col min="13308" max="13308" width="12.85546875" style="48" customWidth="1"/>
    <col min="13309" max="13309" width="12.7109375" style="48" customWidth="1"/>
    <col min="13310" max="13310" width="11.85546875" style="48" customWidth="1"/>
    <col min="13311" max="13311" width="10.42578125" style="48" customWidth="1"/>
    <col min="13312" max="13312" width="12.42578125" style="48" customWidth="1"/>
    <col min="13313" max="13313" width="12.140625" style="48" customWidth="1"/>
    <col min="13314" max="13314" width="10.85546875" style="48" customWidth="1"/>
    <col min="13315" max="13315" width="10.28515625" style="48" customWidth="1"/>
    <col min="13316" max="13316" width="11.28515625" style="48" customWidth="1"/>
    <col min="13317" max="13317" width="11.5703125" style="48" customWidth="1"/>
    <col min="13318" max="13318" width="11.28515625" style="48" customWidth="1"/>
    <col min="13319" max="13319" width="11.42578125" style="48" customWidth="1"/>
    <col min="13320" max="13549" width="9.140625" style="48"/>
    <col min="13550" max="13550" width="4.85546875" style="48" customWidth="1"/>
    <col min="13551" max="13551" width="22.140625" style="48" customWidth="1"/>
    <col min="13552" max="13552" width="11.42578125" style="48" customWidth="1"/>
    <col min="13553" max="13553" width="11.140625" style="48" customWidth="1"/>
    <col min="13554" max="13554" width="11.42578125" style="48" customWidth="1"/>
    <col min="13555" max="13555" width="11" style="48" customWidth="1"/>
    <col min="13556" max="13556" width="10.140625" style="48" customWidth="1"/>
    <col min="13557" max="13557" width="11.5703125" style="48" customWidth="1"/>
    <col min="13558" max="13558" width="9.5703125" style="48" bestFit="1" customWidth="1"/>
    <col min="13559" max="13560" width="9.140625" style="48"/>
    <col min="13561" max="13561" width="10.7109375" style="48" customWidth="1"/>
    <col min="13562" max="13562" width="10.85546875" style="48" customWidth="1"/>
    <col min="13563" max="13563" width="10.42578125" style="48" customWidth="1"/>
    <col min="13564" max="13564" width="12.85546875" style="48" customWidth="1"/>
    <col min="13565" max="13565" width="12.7109375" style="48" customWidth="1"/>
    <col min="13566" max="13566" width="11.85546875" style="48" customWidth="1"/>
    <col min="13567" max="13567" width="10.42578125" style="48" customWidth="1"/>
    <col min="13568" max="13568" width="12.42578125" style="48" customWidth="1"/>
    <col min="13569" max="13569" width="12.140625" style="48" customWidth="1"/>
    <col min="13570" max="13570" width="10.85546875" style="48" customWidth="1"/>
    <col min="13571" max="13571" width="10.28515625" style="48" customWidth="1"/>
    <col min="13572" max="13572" width="11.28515625" style="48" customWidth="1"/>
    <col min="13573" max="13573" width="11.5703125" style="48" customWidth="1"/>
    <col min="13574" max="13574" width="11.28515625" style="48" customWidth="1"/>
    <col min="13575" max="13575" width="11.42578125" style="48" customWidth="1"/>
    <col min="13576" max="13805" width="9.140625" style="48"/>
    <col min="13806" max="13806" width="4.85546875" style="48" customWidth="1"/>
    <col min="13807" max="13807" width="22.140625" style="48" customWidth="1"/>
    <col min="13808" max="13808" width="11.42578125" style="48" customWidth="1"/>
    <col min="13809" max="13809" width="11.140625" style="48" customWidth="1"/>
    <col min="13810" max="13810" width="11.42578125" style="48" customWidth="1"/>
    <col min="13811" max="13811" width="11" style="48" customWidth="1"/>
    <col min="13812" max="13812" width="10.140625" style="48" customWidth="1"/>
    <col min="13813" max="13813" width="11.5703125" style="48" customWidth="1"/>
    <col min="13814" max="13814" width="9.5703125" style="48" bestFit="1" customWidth="1"/>
    <col min="13815" max="13816" width="9.140625" style="48"/>
    <col min="13817" max="13817" width="10.7109375" style="48" customWidth="1"/>
    <col min="13818" max="13818" width="10.85546875" style="48" customWidth="1"/>
    <col min="13819" max="13819" width="10.42578125" style="48" customWidth="1"/>
    <col min="13820" max="13820" width="12.85546875" style="48" customWidth="1"/>
    <col min="13821" max="13821" width="12.7109375" style="48" customWidth="1"/>
    <col min="13822" max="13822" width="11.85546875" style="48" customWidth="1"/>
    <col min="13823" max="13823" width="10.42578125" style="48" customWidth="1"/>
    <col min="13824" max="13824" width="12.42578125" style="48" customWidth="1"/>
    <col min="13825" max="13825" width="12.140625" style="48" customWidth="1"/>
    <col min="13826" max="13826" width="10.85546875" style="48" customWidth="1"/>
    <col min="13827" max="13827" width="10.28515625" style="48" customWidth="1"/>
    <col min="13828" max="13828" width="11.28515625" style="48" customWidth="1"/>
    <col min="13829" max="13829" width="11.5703125" style="48" customWidth="1"/>
    <col min="13830" max="13830" width="11.28515625" style="48" customWidth="1"/>
    <col min="13831" max="13831" width="11.42578125" style="48" customWidth="1"/>
    <col min="13832" max="14061" width="9.140625" style="48"/>
    <col min="14062" max="14062" width="4.85546875" style="48" customWidth="1"/>
    <col min="14063" max="14063" width="22.140625" style="48" customWidth="1"/>
    <col min="14064" max="14064" width="11.42578125" style="48" customWidth="1"/>
    <col min="14065" max="14065" width="11.140625" style="48" customWidth="1"/>
    <col min="14066" max="14066" width="11.42578125" style="48" customWidth="1"/>
    <col min="14067" max="14067" width="11" style="48" customWidth="1"/>
    <col min="14068" max="14068" width="10.140625" style="48" customWidth="1"/>
    <col min="14069" max="14069" width="11.5703125" style="48" customWidth="1"/>
    <col min="14070" max="14070" width="9.5703125" style="48" bestFit="1" customWidth="1"/>
    <col min="14071" max="14072" width="9.140625" style="48"/>
    <col min="14073" max="14073" width="10.7109375" style="48" customWidth="1"/>
    <col min="14074" max="14074" width="10.85546875" style="48" customWidth="1"/>
    <col min="14075" max="14075" width="10.42578125" style="48" customWidth="1"/>
    <col min="14076" max="14076" width="12.85546875" style="48" customWidth="1"/>
    <col min="14077" max="14077" width="12.7109375" style="48" customWidth="1"/>
    <col min="14078" max="14078" width="11.85546875" style="48" customWidth="1"/>
    <col min="14079" max="14079" width="10.42578125" style="48" customWidth="1"/>
    <col min="14080" max="14080" width="12.42578125" style="48" customWidth="1"/>
    <col min="14081" max="14081" width="12.140625" style="48" customWidth="1"/>
    <col min="14082" max="14082" width="10.85546875" style="48" customWidth="1"/>
    <col min="14083" max="14083" width="10.28515625" style="48" customWidth="1"/>
    <col min="14084" max="14084" width="11.28515625" style="48" customWidth="1"/>
    <col min="14085" max="14085" width="11.5703125" style="48" customWidth="1"/>
    <col min="14086" max="14086" width="11.28515625" style="48" customWidth="1"/>
    <col min="14087" max="14087" width="11.42578125" style="48" customWidth="1"/>
    <col min="14088" max="14317" width="9.140625" style="48"/>
    <col min="14318" max="14318" width="4.85546875" style="48" customWidth="1"/>
    <col min="14319" max="14319" width="22.140625" style="48" customWidth="1"/>
    <col min="14320" max="14320" width="11.42578125" style="48" customWidth="1"/>
    <col min="14321" max="14321" width="11.140625" style="48" customWidth="1"/>
    <col min="14322" max="14322" width="11.42578125" style="48" customWidth="1"/>
    <col min="14323" max="14323" width="11" style="48" customWidth="1"/>
    <col min="14324" max="14324" width="10.140625" style="48" customWidth="1"/>
    <col min="14325" max="14325" width="11.5703125" style="48" customWidth="1"/>
    <col min="14326" max="14326" width="9.5703125" style="48" bestFit="1" customWidth="1"/>
    <col min="14327" max="14328" width="9.140625" style="48"/>
    <col min="14329" max="14329" width="10.7109375" style="48" customWidth="1"/>
    <col min="14330" max="14330" width="10.85546875" style="48" customWidth="1"/>
    <col min="14331" max="14331" width="10.42578125" style="48" customWidth="1"/>
    <col min="14332" max="14332" width="12.85546875" style="48" customWidth="1"/>
    <col min="14333" max="14333" width="12.7109375" style="48" customWidth="1"/>
    <col min="14334" max="14334" width="11.85546875" style="48" customWidth="1"/>
    <col min="14335" max="14335" width="10.42578125" style="48" customWidth="1"/>
    <col min="14336" max="14336" width="12.42578125" style="48" customWidth="1"/>
    <col min="14337" max="14337" width="12.140625" style="48" customWidth="1"/>
    <col min="14338" max="14338" width="10.85546875" style="48" customWidth="1"/>
    <col min="14339" max="14339" width="10.28515625" style="48" customWidth="1"/>
    <col min="14340" max="14340" width="11.28515625" style="48" customWidth="1"/>
    <col min="14341" max="14341" width="11.5703125" style="48" customWidth="1"/>
    <col min="14342" max="14342" width="11.28515625" style="48" customWidth="1"/>
    <col min="14343" max="14343" width="11.42578125" style="48" customWidth="1"/>
    <col min="14344" max="14573" width="9.140625" style="48"/>
    <col min="14574" max="14574" width="4.85546875" style="48" customWidth="1"/>
    <col min="14575" max="14575" width="22.140625" style="48" customWidth="1"/>
    <col min="14576" max="14576" width="11.42578125" style="48" customWidth="1"/>
    <col min="14577" max="14577" width="11.140625" style="48" customWidth="1"/>
    <col min="14578" max="14578" width="11.42578125" style="48" customWidth="1"/>
    <col min="14579" max="14579" width="11" style="48" customWidth="1"/>
    <col min="14580" max="14580" width="10.140625" style="48" customWidth="1"/>
    <col min="14581" max="14581" width="11.5703125" style="48" customWidth="1"/>
    <col min="14582" max="14582" width="9.5703125" style="48" bestFit="1" customWidth="1"/>
    <col min="14583" max="14584" width="9.140625" style="48"/>
    <col min="14585" max="14585" width="10.7109375" style="48" customWidth="1"/>
    <col min="14586" max="14586" width="10.85546875" style="48" customWidth="1"/>
    <col min="14587" max="14587" width="10.42578125" style="48" customWidth="1"/>
    <col min="14588" max="14588" width="12.85546875" style="48" customWidth="1"/>
    <col min="14589" max="14589" width="12.7109375" style="48" customWidth="1"/>
    <col min="14590" max="14590" width="11.85546875" style="48" customWidth="1"/>
    <col min="14591" max="14591" width="10.42578125" style="48" customWidth="1"/>
    <col min="14592" max="14592" width="12.42578125" style="48" customWidth="1"/>
    <col min="14593" max="14593" width="12.140625" style="48" customWidth="1"/>
    <col min="14594" max="14594" width="10.85546875" style="48" customWidth="1"/>
    <col min="14595" max="14595" width="10.28515625" style="48" customWidth="1"/>
    <col min="14596" max="14596" width="11.28515625" style="48" customWidth="1"/>
    <col min="14597" max="14597" width="11.5703125" style="48" customWidth="1"/>
    <col min="14598" max="14598" width="11.28515625" style="48" customWidth="1"/>
    <col min="14599" max="14599" width="11.42578125" style="48" customWidth="1"/>
    <col min="14600" max="14829" width="9.140625" style="48"/>
    <col min="14830" max="14830" width="4.85546875" style="48" customWidth="1"/>
    <col min="14831" max="14831" width="22.140625" style="48" customWidth="1"/>
    <col min="14832" max="14832" width="11.42578125" style="48" customWidth="1"/>
    <col min="14833" max="14833" width="11.140625" style="48" customWidth="1"/>
    <col min="14834" max="14834" width="11.42578125" style="48" customWidth="1"/>
    <col min="14835" max="14835" width="11" style="48" customWidth="1"/>
    <col min="14836" max="14836" width="10.140625" style="48" customWidth="1"/>
    <col min="14837" max="14837" width="11.5703125" style="48" customWidth="1"/>
    <col min="14838" max="14838" width="9.5703125" style="48" bestFit="1" customWidth="1"/>
    <col min="14839" max="14840" width="9.140625" style="48"/>
    <col min="14841" max="14841" width="10.7109375" style="48" customWidth="1"/>
    <col min="14842" max="14842" width="10.85546875" style="48" customWidth="1"/>
    <col min="14843" max="14843" width="10.42578125" style="48" customWidth="1"/>
    <col min="14844" max="14844" width="12.85546875" style="48" customWidth="1"/>
    <col min="14845" max="14845" width="12.7109375" style="48" customWidth="1"/>
    <col min="14846" max="14846" width="11.85546875" style="48" customWidth="1"/>
    <col min="14847" max="14847" width="10.42578125" style="48" customWidth="1"/>
    <col min="14848" max="14848" width="12.42578125" style="48" customWidth="1"/>
    <col min="14849" max="14849" width="12.140625" style="48" customWidth="1"/>
    <col min="14850" max="14850" width="10.85546875" style="48" customWidth="1"/>
    <col min="14851" max="14851" width="10.28515625" style="48" customWidth="1"/>
    <col min="14852" max="14852" width="11.28515625" style="48" customWidth="1"/>
    <col min="14853" max="14853" width="11.5703125" style="48" customWidth="1"/>
    <col min="14854" max="14854" width="11.28515625" style="48" customWidth="1"/>
    <col min="14855" max="14855" width="11.42578125" style="48" customWidth="1"/>
    <col min="14856" max="15085" width="9.140625" style="48"/>
    <col min="15086" max="15086" width="4.85546875" style="48" customWidth="1"/>
    <col min="15087" max="15087" width="22.140625" style="48" customWidth="1"/>
    <col min="15088" max="15088" width="11.42578125" style="48" customWidth="1"/>
    <col min="15089" max="15089" width="11.140625" style="48" customWidth="1"/>
    <col min="15090" max="15090" width="11.42578125" style="48" customWidth="1"/>
    <col min="15091" max="15091" width="11" style="48" customWidth="1"/>
    <col min="15092" max="15092" width="10.140625" style="48" customWidth="1"/>
    <col min="15093" max="15093" width="11.5703125" style="48" customWidth="1"/>
    <col min="15094" max="15094" width="9.5703125" style="48" bestFit="1" customWidth="1"/>
    <col min="15095" max="15096" width="9.140625" style="48"/>
    <col min="15097" max="15097" width="10.7109375" style="48" customWidth="1"/>
    <col min="15098" max="15098" width="10.85546875" style="48" customWidth="1"/>
    <col min="15099" max="15099" width="10.42578125" style="48" customWidth="1"/>
    <col min="15100" max="15100" width="12.85546875" style="48" customWidth="1"/>
    <col min="15101" max="15101" width="12.7109375" style="48" customWidth="1"/>
    <col min="15102" max="15102" width="11.85546875" style="48" customWidth="1"/>
    <col min="15103" max="15103" width="10.42578125" style="48" customWidth="1"/>
    <col min="15104" max="15104" width="12.42578125" style="48" customWidth="1"/>
    <col min="15105" max="15105" width="12.140625" style="48" customWidth="1"/>
    <col min="15106" max="15106" width="10.85546875" style="48" customWidth="1"/>
    <col min="15107" max="15107" width="10.28515625" style="48" customWidth="1"/>
    <col min="15108" max="15108" width="11.28515625" style="48" customWidth="1"/>
    <col min="15109" max="15109" width="11.5703125" style="48" customWidth="1"/>
    <col min="15110" max="15110" width="11.28515625" style="48" customWidth="1"/>
    <col min="15111" max="15111" width="11.42578125" style="48" customWidth="1"/>
    <col min="15112" max="15341" width="9.140625" style="48"/>
    <col min="15342" max="15342" width="4.85546875" style="48" customWidth="1"/>
    <col min="15343" max="15343" width="22.140625" style="48" customWidth="1"/>
    <col min="15344" max="15344" width="11.42578125" style="48" customWidth="1"/>
    <col min="15345" max="15345" width="11.140625" style="48" customWidth="1"/>
    <col min="15346" max="15346" width="11.42578125" style="48" customWidth="1"/>
    <col min="15347" max="15347" width="11" style="48" customWidth="1"/>
    <col min="15348" max="15348" width="10.140625" style="48" customWidth="1"/>
    <col min="15349" max="15349" width="11.5703125" style="48" customWidth="1"/>
    <col min="15350" max="15350" width="9.5703125" style="48" bestFit="1" customWidth="1"/>
    <col min="15351" max="15352" width="9.140625" style="48"/>
    <col min="15353" max="15353" width="10.7109375" style="48" customWidth="1"/>
    <col min="15354" max="15354" width="10.85546875" style="48" customWidth="1"/>
    <col min="15355" max="15355" width="10.42578125" style="48" customWidth="1"/>
    <col min="15356" max="15356" width="12.85546875" style="48" customWidth="1"/>
    <col min="15357" max="15357" width="12.7109375" style="48" customWidth="1"/>
    <col min="15358" max="15358" width="11.85546875" style="48" customWidth="1"/>
    <col min="15359" max="15359" width="10.42578125" style="48" customWidth="1"/>
    <col min="15360" max="15360" width="12.42578125" style="48" customWidth="1"/>
    <col min="15361" max="15361" width="12.140625" style="48" customWidth="1"/>
    <col min="15362" max="15362" width="10.85546875" style="48" customWidth="1"/>
    <col min="15363" max="15363" width="10.28515625" style="48" customWidth="1"/>
    <col min="15364" max="15364" width="11.28515625" style="48" customWidth="1"/>
    <col min="15365" max="15365" width="11.5703125" style="48" customWidth="1"/>
    <col min="15366" max="15366" width="11.28515625" style="48" customWidth="1"/>
    <col min="15367" max="15367" width="11.42578125" style="48" customWidth="1"/>
    <col min="15368" max="15597" width="9.140625" style="48"/>
    <col min="15598" max="15598" width="4.85546875" style="48" customWidth="1"/>
    <col min="15599" max="15599" width="22.140625" style="48" customWidth="1"/>
    <col min="15600" max="15600" width="11.42578125" style="48" customWidth="1"/>
    <col min="15601" max="15601" width="11.140625" style="48" customWidth="1"/>
    <col min="15602" max="15602" width="11.42578125" style="48" customWidth="1"/>
    <col min="15603" max="15603" width="11" style="48" customWidth="1"/>
    <col min="15604" max="15604" width="10.140625" style="48" customWidth="1"/>
    <col min="15605" max="15605" width="11.5703125" style="48" customWidth="1"/>
    <col min="15606" max="15606" width="9.5703125" style="48" bestFit="1" customWidth="1"/>
    <col min="15607" max="15608" width="9.140625" style="48"/>
    <col min="15609" max="15609" width="10.7109375" style="48" customWidth="1"/>
    <col min="15610" max="15610" width="10.85546875" style="48" customWidth="1"/>
    <col min="15611" max="15611" width="10.42578125" style="48" customWidth="1"/>
    <col min="15612" max="15612" width="12.85546875" style="48" customWidth="1"/>
    <col min="15613" max="15613" width="12.7109375" style="48" customWidth="1"/>
    <col min="15614" max="15614" width="11.85546875" style="48" customWidth="1"/>
    <col min="15615" max="15615" width="10.42578125" style="48" customWidth="1"/>
    <col min="15616" max="15616" width="12.42578125" style="48" customWidth="1"/>
    <col min="15617" max="15617" width="12.140625" style="48" customWidth="1"/>
    <col min="15618" max="15618" width="10.85546875" style="48" customWidth="1"/>
    <col min="15619" max="15619" width="10.28515625" style="48" customWidth="1"/>
    <col min="15620" max="15620" width="11.28515625" style="48" customWidth="1"/>
    <col min="15621" max="15621" width="11.5703125" style="48" customWidth="1"/>
    <col min="15622" max="15622" width="11.28515625" style="48" customWidth="1"/>
    <col min="15623" max="15623" width="11.42578125" style="48" customWidth="1"/>
    <col min="15624" max="15853" width="9.140625" style="48"/>
    <col min="15854" max="15854" width="4.85546875" style="48" customWidth="1"/>
    <col min="15855" max="15855" width="22.140625" style="48" customWidth="1"/>
    <col min="15856" max="15856" width="11.42578125" style="48" customWidth="1"/>
    <col min="15857" max="15857" width="11.140625" style="48" customWidth="1"/>
    <col min="15858" max="15858" width="11.42578125" style="48" customWidth="1"/>
    <col min="15859" max="15859" width="11" style="48" customWidth="1"/>
    <col min="15860" max="15860" width="10.140625" style="48" customWidth="1"/>
    <col min="15861" max="15861" width="11.5703125" style="48" customWidth="1"/>
    <col min="15862" max="15862" width="9.5703125" style="48" bestFit="1" customWidth="1"/>
    <col min="15863" max="15864" width="9.140625" style="48"/>
    <col min="15865" max="15865" width="10.7109375" style="48" customWidth="1"/>
    <col min="15866" max="15866" width="10.85546875" style="48" customWidth="1"/>
    <col min="15867" max="15867" width="10.42578125" style="48" customWidth="1"/>
    <col min="15868" max="15868" width="12.85546875" style="48" customWidth="1"/>
    <col min="15869" max="15869" width="12.7109375" style="48" customWidth="1"/>
    <col min="15870" max="15870" width="11.85546875" style="48" customWidth="1"/>
    <col min="15871" max="15871" width="10.42578125" style="48" customWidth="1"/>
    <col min="15872" max="15872" width="12.42578125" style="48" customWidth="1"/>
    <col min="15873" max="15873" width="12.140625" style="48" customWidth="1"/>
    <col min="15874" max="15874" width="10.85546875" style="48" customWidth="1"/>
    <col min="15875" max="15875" width="10.28515625" style="48" customWidth="1"/>
    <col min="15876" max="15876" width="11.28515625" style="48" customWidth="1"/>
    <col min="15877" max="15877" width="11.5703125" style="48" customWidth="1"/>
    <col min="15878" max="15878" width="11.28515625" style="48" customWidth="1"/>
    <col min="15879" max="15879" width="11.42578125" style="48" customWidth="1"/>
    <col min="15880" max="16109" width="9.140625" style="48"/>
    <col min="16110" max="16110" width="4.85546875" style="48" customWidth="1"/>
    <col min="16111" max="16111" width="22.140625" style="48" customWidth="1"/>
    <col min="16112" max="16112" width="11.42578125" style="48" customWidth="1"/>
    <col min="16113" max="16113" width="11.140625" style="48" customWidth="1"/>
    <col min="16114" max="16114" width="11.42578125" style="48" customWidth="1"/>
    <col min="16115" max="16115" width="11" style="48" customWidth="1"/>
    <col min="16116" max="16116" width="10.140625" style="48" customWidth="1"/>
    <col min="16117" max="16117" width="11.5703125" style="48" customWidth="1"/>
    <col min="16118" max="16118" width="9.5703125" style="48" bestFit="1" customWidth="1"/>
    <col min="16119" max="16120" width="9.140625" style="48"/>
    <col min="16121" max="16121" width="10.7109375" style="48" customWidth="1"/>
    <col min="16122" max="16122" width="10.85546875" style="48" customWidth="1"/>
    <col min="16123" max="16123" width="10.42578125" style="48" customWidth="1"/>
    <col min="16124" max="16124" width="12.85546875" style="48" customWidth="1"/>
    <col min="16125" max="16125" width="12.7109375" style="48" customWidth="1"/>
    <col min="16126" max="16126" width="11.85546875" style="48" customWidth="1"/>
    <col min="16127" max="16127" width="10.42578125" style="48" customWidth="1"/>
    <col min="16128" max="16128" width="12.42578125" style="48" customWidth="1"/>
    <col min="16129" max="16129" width="12.140625" style="48" customWidth="1"/>
    <col min="16130" max="16130" width="10.85546875" style="48" customWidth="1"/>
    <col min="16131" max="16131" width="10.28515625" style="48" customWidth="1"/>
    <col min="16132" max="16132" width="11.28515625" style="48" customWidth="1"/>
    <col min="16133" max="16133" width="11.5703125" style="48" customWidth="1"/>
    <col min="16134" max="16134" width="11.28515625" style="48" customWidth="1"/>
    <col min="16135" max="16135" width="11.42578125" style="48" customWidth="1"/>
    <col min="16136" max="16384" width="9.140625" style="48"/>
  </cols>
  <sheetData>
    <row r="1" spans="1:29" s="47" customFormat="1" ht="24" customHeight="1">
      <c r="B1" s="30"/>
      <c r="C1" s="145" t="s">
        <v>149</v>
      </c>
      <c r="D1" s="53"/>
      <c r="E1" s="53"/>
      <c r="F1" s="53"/>
      <c r="G1" s="53"/>
      <c r="H1" s="53"/>
      <c r="I1" s="53"/>
      <c r="J1" s="53"/>
      <c r="K1" s="62" t="s">
        <v>120</v>
      </c>
      <c r="L1" s="145" t="str">
        <f>C1</f>
        <v>Table I: BACK SERIES OF ENROLMENT IN CLASS I</v>
      </c>
      <c r="T1" s="62" t="str">
        <f>K1</f>
        <v>Appendix-1</v>
      </c>
      <c r="U1" s="145" t="str">
        <f>L1</f>
        <v>Table I: BACK SERIES OF ENROLMENT IN CLASS I</v>
      </c>
      <c r="AC1" s="62" t="str">
        <f>T1</f>
        <v>Appendix-1</v>
      </c>
    </row>
    <row r="2" spans="1:29" s="61" customFormat="1" ht="16.5" customHeight="1">
      <c r="A2" s="325" t="s">
        <v>67</v>
      </c>
      <c r="B2" s="325" t="s">
        <v>65</v>
      </c>
      <c r="C2" s="328" t="s">
        <v>81</v>
      </c>
      <c r="D2" s="328"/>
      <c r="E2" s="328"/>
      <c r="F2" s="328"/>
      <c r="G2" s="328"/>
      <c r="H2" s="328"/>
      <c r="I2" s="328"/>
      <c r="J2" s="328"/>
      <c r="K2" s="328"/>
      <c r="L2" s="328" t="s">
        <v>79</v>
      </c>
      <c r="M2" s="328"/>
      <c r="N2" s="328"/>
      <c r="O2" s="328"/>
      <c r="P2" s="328"/>
      <c r="Q2" s="328"/>
      <c r="R2" s="328"/>
      <c r="S2" s="328"/>
      <c r="T2" s="328"/>
      <c r="U2" s="328" t="s">
        <v>80</v>
      </c>
      <c r="V2" s="328"/>
      <c r="W2" s="328"/>
      <c r="X2" s="328"/>
      <c r="Y2" s="328"/>
      <c r="Z2" s="328"/>
      <c r="AA2" s="328"/>
      <c r="AB2" s="328"/>
      <c r="AC2" s="328"/>
    </row>
    <row r="3" spans="1:29" s="61" customFormat="1" ht="16.5" customHeight="1">
      <c r="A3" s="325"/>
      <c r="B3" s="325"/>
      <c r="C3" s="325" t="s">
        <v>201</v>
      </c>
      <c r="D3" s="328"/>
      <c r="E3" s="328"/>
      <c r="F3" s="325" t="s">
        <v>202</v>
      </c>
      <c r="G3" s="328"/>
      <c r="H3" s="328"/>
      <c r="I3" s="325" t="s">
        <v>152</v>
      </c>
      <c r="J3" s="328"/>
      <c r="K3" s="328"/>
      <c r="L3" s="325" t="s">
        <v>201</v>
      </c>
      <c r="M3" s="328"/>
      <c r="N3" s="328"/>
      <c r="O3" s="325" t="s">
        <v>202</v>
      </c>
      <c r="P3" s="328"/>
      <c r="Q3" s="328"/>
      <c r="R3" s="325" t="s">
        <v>152</v>
      </c>
      <c r="S3" s="328"/>
      <c r="T3" s="328"/>
      <c r="U3" s="325" t="s">
        <v>201</v>
      </c>
      <c r="V3" s="328"/>
      <c r="W3" s="328"/>
      <c r="X3" s="325" t="s">
        <v>202</v>
      </c>
      <c r="Y3" s="328"/>
      <c r="Z3" s="328"/>
      <c r="AA3" s="325" t="s">
        <v>152</v>
      </c>
      <c r="AB3" s="328"/>
      <c r="AC3" s="328"/>
    </row>
    <row r="4" spans="1:29" s="61" customFormat="1" ht="16.5" customHeight="1">
      <c r="A4" s="325"/>
      <c r="B4" s="325"/>
      <c r="C4" s="51" t="s">
        <v>100</v>
      </c>
      <c r="D4" s="51" t="s">
        <v>101</v>
      </c>
      <c r="E4" s="51" t="s">
        <v>102</v>
      </c>
      <c r="F4" s="51" t="s">
        <v>100</v>
      </c>
      <c r="G4" s="51" t="s">
        <v>101</v>
      </c>
      <c r="H4" s="51" t="s">
        <v>102</v>
      </c>
      <c r="I4" s="51" t="s">
        <v>100</v>
      </c>
      <c r="J4" s="51" t="s">
        <v>101</v>
      </c>
      <c r="K4" s="51" t="s">
        <v>102</v>
      </c>
      <c r="L4" s="51" t="s">
        <v>100</v>
      </c>
      <c r="M4" s="51" t="s">
        <v>101</v>
      </c>
      <c r="N4" s="51" t="s">
        <v>102</v>
      </c>
      <c r="O4" s="51" t="s">
        <v>100</v>
      </c>
      <c r="P4" s="51" t="s">
        <v>101</v>
      </c>
      <c r="Q4" s="51" t="s">
        <v>102</v>
      </c>
      <c r="R4" s="51" t="s">
        <v>100</v>
      </c>
      <c r="S4" s="51" t="s">
        <v>101</v>
      </c>
      <c r="T4" s="51" t="s">
        <v>102</v>
      </c>
      <c r="U4" s="51" t="s">
        <v>100</v>
      </c>
      <c r="V4" s="51" t="s">
        <v>101</v>
      </c>
      <c r="W4" s="51" t="s">
        <v>102</v>
      </c>
      <c r="X4" s="51" t="s">
        <v>100</v>
      </c>
      <c r="Y4" s="51" t="s">
        <v>101</v>
      </c>
      <c r="Z4" s="51" t="s">
        <v>102</v>
      </c>
      <c r="AA4" s="51" t="s">
        <v>100</v>
      </c>
      <c r="AB4" s="51" t="s">
        <v>101</v>
      </c>
      <c r="AC4" s="51" t="s">
        <v>102</v>
      </c>
    </row>
    <row r="5" spans="1:29" s="50" customFormat="1" ht="12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  <c r="P5" s="52">
        <v>16</v>
      </c>
      <c r="Q5" s="52">
        <v>17</v>
      </c>
      <c r="R5" s="52">
        <v>18</v>
      </c>
      <c r="S5" s="52">
        <v>19</v>
      </c>
      <c r="T5" s="52">
        <v>20</v>
      </c>
      <c r="U5" s="52">
        <v>21</v>
      </c>
      <c r="V5" s="52">
        <v>22</v>
      </c>
      <c r="W5" s="52">
        <v>23</v>
      </c>
      <c r="X5" s="52">
        <v>24</v>
      </c>
      <c r="Y5" s="52">
        <v>25</v>
      </c>
      <c r="Z5" s="52">
        <v>26</v>
      </c>
      <c r="AA5" s="52">
        <v>27</v>
      </c>
      <c r="AB5" s="52">
        <v>28</v>
      </c>
      <c r="AC5" s="52">
        <v>29</v>
      </c>
    </row>
    <row r="6" spans="1:29" ht="17.25" customHeight="1">
      <c r="A6" s="60">
        <v>1</v>
      </c>
      <c r="B6" s="57" t="s">
        <v>16</v>
      </c>
      <c r="C6" s="67">
        <v>818265</v>
      </c>
      <c r="D6" s="67">
        <v>782132</v>
      </c>
      <c r="E6" s="54">
        <f>C6+D6</f>
        <v>1600397</v>
      </c>
      <c r="F6" s="55">
        <v>800716</v>
      </c>
      <c r="G6" s="55">
        <v>769705</v>
      </c>
      <c r="H6" s="55">
        <f t="shared" ref="H6:H40" si="0">F6+G6</f>
        <v>1570421</v>
      </c>
      <c r="I6" s="55">
        <v>980057</v>
      </c>
      <c r="J6" s="55">
        <v>962818</v>
      </c>
      <c r="K6" s="55">
        <f>I6+J6</f>
        <v>1942875</v>
      </c>
      <c r="L6" s="55">
        <v>157844</v>
      </c>
      <c r="M6" s="55">
        <v>152513</v>
      </c>
      <c r="N6" s="55">
        <f>L6+M6</f>
        <v>310357</v>
      </c>
      <c r="O6" s="55">
        <v>157208</v>
      </c>
      <c r="P6" s="55">
        <v>151945</v>
      </c>
      <c r="Q6" s="55">
        <f>O6+P6</f>
        <v>309153</v>
      </c>
      <c r="R6" s="55">
        <v>191381</v>
      </c>
      <c r="S6" s="55">
        <v>188726</v>
      </c>
      <c r="T6" s="55">
        <f>R6+S6</f>
        <v>380107</v>
      </c>
      <c r="U6" s="55">
        <v>101857</v>
      </c>
      <c r="V6" s="55">
        <v>97396</v>
      </c>
      <c r="W6" s="55">
        <f>U6+V6</f>
        <v>199253</v>
      </c>
      <c r="X6" s="55">
        <v>98629</v>
      </c>
      <c r="Y6" s="55">
        <v>94286</v>
      </c>
      <c r="Z6" s="55">
        <f>X6+Y6</f>
        <v>192915</v>
      </c>
      <c r="AA6" s="55">
        <v>125864</v>
      </c>
      <c r="AB6" s="55">
        <v>126289</v>
      </c>
      <c r="AC6" s="55">
        <f>AA6+AB6</f>
        <v>252153</v>
      </c>
    </row>
    <row r="7" spans="1:29" ht="17.25" customHeight="1">
      <c r="A7" s="60">
        <v>2</v>
      </c>
      <c r="B7" s="57" t="s">
        <v>17</v>
      </c>
      <c r="C7" s="67">
        <v>28143</v>
      </c>
      <c r="D7" s="67">
        <v>24463</v>
      </c>
      <c r="E7" s="54">
        <f t="shared" ref="E7:E40" si="1">C7+D7</f>
        <v>52606</v>
      </c>
      <c r="F7" s="55">
        <v>28756</v>
      </c>
      <c r="G7" s="55">
        <v>24621</v>
      </c>
      <c r="H7" s="55">
        <f t="shared" si="0"/>
        <v>53377</v>
      </c>
      <c r="I7" s="55">
        <v>25201</v>
      </c>
      <c r="J7" s="55">
        <v>21040</v>
      </c>
      <c r="K7" s="55">
        <f t="shared" ref="K7:K40" si="2">I7+J7</f>
        <v>46241</v>
      </c>
      <c r="L7" s="55">
        <v>0</v>
      </c>
      <c r="M7" s="55">
        <v>0</v>
      </c>
      <c r="N7" s="55">
        <f t="shared" ref="N7:N40" si="3">L7+M7</f>
        <v>0</v>
      </c>
      <c r="O7" s="55">
        <v>35</v>
      </c>
      <c r="P7" s="55">
        <v>25</v>
      </c>
      <c r="Q7" s="55">
        <f t="shared" ref="Q7:Q40" si="4">O7+P7</f>
        <v>60</v>
      </c>
      <c r="R7" s="55">
        <v>247</v>
      </c>
      <c r="S7" s="55">
        <v>234</v>
      </c>
      <c r="T7" s="55">
        <f t="shared" ref="T7:T40" si="5">R7+S7</f>
        <v>481</v>
      </c>
      <c r="U7" s="55">
        <v>21745</v>
      </c>
      <c r="V7" s="55">
        <v>19387</v>
      </c>
      <c r="W7" s="55">
        <f t="shared" ref="W7:W40" si="6">U7+V7</f>
        <v>41132</v>
      </c>
      <c r="X7" s="55">
        <v>21175</v>
      </c>
      <c r="Y7" s="55">
        <v>17921</v>
      </c>
      <c r="Z7" s="55">
        <f t="shared" ref="Z7:Z40" si="7">X7+Y7</f>
        <v>39096</v>
      </c>
      <c r="AA7" s="55">
        <v>19217</v>
      </c>
      <c r="AB7" s="55">
        <v>16179</v>
      </c>
      <c r="AC7" s="55">
        <f t="shared" ref="AC7:AC40" si="8">AA7+AB7</f>
        <v>35396</v>
      </c>
    </row>
    <row r="8" spans="1:29" ht="17.25" customHeight="1">
      <c r="A8" s="60">
        <v>3</v>
      </c>
      <c r="B8" s="57" t="s">
        <v>48</v>
      </c>
      <c r="C8" s="68">
        <v>373992</v>
      </c>
      <c r="D8" s="67">
        <v>358819</v>
      </c>
      <c r="E8" s="54">
        <f t="shared" si="1"/>
        <v>732811</v>
      </c>
      <c r="F8" s="55">
        <v>415089</v>
      </c>
      <c r="G8" s="55">
        <v>400912</v>
      </c>
      <c r="H8" s="55">
        <f t="shared" si="0"/>
        <v>816001</v>
      </c>
      <c r="I8" s="55">
        <v>568668</v>
      </c>
      <c r="J8" s="55">
        <v>537232</v>
      </c>
      <c r="K8" s="55">
        <f t="shared" si="2"/>
        <v>1105900</v>
      </c>
      <c r="L8" s="55">
        <v>33907</v>
      </c>
      <c r="M8" s="55">
        <v>32459</v>
      </c>
      <c r="N8" s="55">
        <f t="shared" si="3"/>
        <v>66366</v>
      </c>
      <c r="O8" s="55">
        <v>39489</v>
      </c>
      <c r="P8" s="55">
        <v>38417</v>
      </c>
      <c r="Q8" s="55">
        <f t="shared" si="4"/>
        <v>77906</v>
      </c>
      <c r="R8" s="55">
        <v>53613</v>
      </c>
      <c r="S8" s="55">
        <v>49493</v>
      </c>
      <c r="T8" s="55">
        <f t="shared" si="5"/>
        <v>103106</v>
      </c>
      <c r="U8" s="55">
        <v>57164</v>
      </c>
      <c r="V8" s="55">
        <v>55617</v>
      </c>
      <c r="W8" s="55">
        <f t="shared" si="6"/>
        <v>112781</v>
      </c>
      <c r="X8" s="55">
        <v>58681</v>
      </c>
      <c r="Y8" s="55">
        <v>57421</v>
      </c>
      <c r="Z8" s="55">
        <f t="shared" si="7"/>
        <v>116102</v>
      </c>
      <c r="AA8" s="55">
        <v>99107</v>
      </c>
      <c r="AB8" s="55">
        <v>95367</v>
      </c>
      <c r="AC8" s="55">
        <f t="shared" si="8"/>
        <v>194474</v>
      </c>
    </row>
    <row r="9" spans="1:29" ht="17.25" customHeight="1">
      <c r="A9" s="60">
        <v>4</v>
      </c>
      <c r="B9" s="57" t="s">
        <v>18</v>
      </c>
      <c r="C9" s="67">
        <v>2087534</v>
      </c>
      <c r="D9" s="67">
        <v>1646236</v>
      </c>
      <c r="E9" s="54">
        <f t="shared" si="1"/>
        <v>3733770</v>
      </c>
      <c r="F9" s="55">
        <v>1959462</v>
      </c>
      <c r="G9" s="55">
        <v>1394652</v>
      </c>
      <c r="H9" s="55">
        <f t="shared" si="0"/>
        <v>3354114</v>
      </c>
      <c r="I9" s="55">
        <v>2003091</v>
      </c>
      <c r="J9" s="55">
        <v>1611435</v>
      </c>
      <c r="K9" s="55">
        <f t="shared" si="2"/>
        <v>3614526</v>
      </c>
      <c r="L9" s="55">
        <v>354994</v>
      </c>
      <c r="M9" s="55">
        <v>261467</v>
      </c>
      <c r="N9" s="55">
        <f t="shared" si="3"/>
        <v>616461</v>
      </c>
      <c r="O9" s="55">
        <v>350460</v>
      </c>
      <c r="P9" s="55">
        <v>226371</v>
      </c>
      <c r="Q9" s="55">
        <f t="shared" si="4"/>
        <v>576831</v>
      </c>
      <c r="R9" s="55">
        <v>382495</v>
      </c>
      <c r="S9" s="55">
        <v>271075</v>
      </c>
      <c r="T9" s="55">
        <f t="shared" si="5"/>
        <v>653570</v>
      </c>
      <c r="U9" s="55">
        <v>25485</v>
      </c>
      <c r="V9" s="55">
        <v>16688</v>
      </c>
      <c r="W9" s="55">
        <f t="shared" si="6"/>
        <v>42173</v>
      </c>
      <c r="X9" s="55">
        <v>16695</v>
      </c>
      <c r="Y9" s="55">
        <v>10030</v>
      </c>
      <c r="Z9" s="55">
        <f t="shared" si="7"/>
        <v>26725</v>
      </c>
      <c r="AA9" s="55">
        <v>17317</v>
      </c>
      <c r="AB9" s="55">
        <v>11457</v>
      </c>
      <c r="AC9" s="55">
        <f t="shared" si="8"/>
        <v>28774</v>
      </c>
    </row>
    <row r="10" spans="1:29" ht="17.25" customHeight="1">
      <c r="A10" s="60">
        <v>5</v>
      </c>
      <c r="B10" s="58" t="s">
        <v>19</v>
      </c>
      <c r="C10" s="67">
        <v>423778</v>
      </c>
      <c r="D10" s="67">
        <v>405961</v>
      </c>
      <c r="E10" s="54">
        <f t="shared" si="1"/>
        <v>829739</v>
      </c>
      <c r="F10" s="56">
        <v>422758</v>
      </c>
      <c r="G10" s="56">
        <v>396260</v>
      </c>
      <c r="H10" s="55">
        <f t="shared" si="0"/>
        <v>819018</v>
      </c>
      <c r="I10" s="69">
        <v>348810</v>
      </c>
      <c r="J10" s="69">
        <v>335040</v>
      </c>
      <c r="K10" s="55">
        <f t="shared" si="2"/>
        <v>683850</v>
      </c>
      <c r="L10" s="69">
        <v>60204</v>
      </c>
      <c r="M10" s="69">
        <v>53737</v>
      </c>
      <c r="N10" s="55">
        <f t="shared" si="3"/>
        <v>113941</v>
      </c>
      <c r="O10" s="69">
        <v>61550</v>
      </c>
      <c r="P10" s="69">
        <v>55617</v>
      </c>
      <c r="Q10" s="55">
        <f t="shared" si="4"/>
        <v>117167</v>
      </c>
      <c r="R10" s="69">
        <v>53666</v>
      </c>
      <c r="S10" s="69">
        <v>51750</v>
      </c>
      <c r="T10" s="55">
        <f t="shared" si="5"/>
        <v>105416</v>
      </c>
      <c r="U10" s="69">
        <v>138868</v>
      </c>
      <c r="V10" s="69">
        <v>123295</v>
      </c>
      <c r="W10" s="55">
        <f t="shared" si="6"/>
        <v>262163</v>
      </c>
      <c r="X10" s="69">
        <v>139187</v>
      </c>
      <c r="Y10" s="69">
        <v>129893</v>
      </c>
      <c r="Z10" s="55">
        <f t="shared" si="7"/>
        <v>269080</v>
      </c>
      <c r="AA10" s="69">
        <v>111744</v>
      </c>
      <c r="AB10" s="69">
        <v>106932</v>
      </c>
      <c r="AC10" s="55">
        <f t="shared" si="8"/>
        <v>218676</v>
      </c>
    </row>
    <row r="11" spans="1:29" ht="17.25" customHeight="1">
      <c r="A11" s="60">
        <v>6</v>
      </c>
      <c r="B11" s="57" t="s">
        <v>20</v>
      </c>
      <c r="C11" s="67">
        <v>13309</v>
      </c>
      <c r="D11" s="67">
        <v>12426</v>
      </c>
      <c r="E11" s="54">
        <f t="shared" si="1"/>
        <v>25735</v>
      </c>
      <c r="F11" s="56">
        <v>12394</v>
      </c>
      <c r="G11" s="56">
        <v>11398</v>
      </c>
      <c r="H11" s="55">
        <f t="shared" si="0"/>
        <v>23792</v>
      </c>
      <c r="I11" s="55">
        <v>9347</v>
      </c>
      <c r="J11" s="55">
        <v>8668</v>
      </c>
      <c r="K11" s="55">
        <f t="shared" si="2"/>
        <v>18015</v>
      </c>
      <c r="L11" s="55">
        <v>285</v>
      </c>
      <c r="M11" s="55">
        <v>284</v>
      </c>
      <c r="N11" s="55">
        <f t="shared" si="3"/>
        <v>569</v>
      </c>
      <c r="O11" s="55">
        <v>190</v>
      </c>
      <c r="P11" s="55">
        <v>224</v>
      </c>
      <c r="Q11" s="55">
        <f t="shared" si="4"/>
        <v>414</v>
      </c>
      <c r="R11" s="55">
        <v>227</v>
      </c>
      <c r="S11" s="55">
        <v>220</v>
      </c>
      <c r="T11" s="55">
        <f t="shared" si="5"/>
        <v>447</v>
      </c>
      <c r="U11" s="55">
        <v>810</v>
      </c>
      <c r="V11" s="55">
        <v>740</v>
      </c>
      <c r="W11" s="55">
        <f t="shared" si="6"/>
        <v>1550</v>
      </c>
      <c r="X11" s="55">
        <v>489</v>
      </c>
      <c r="Y11" s="55">
        <v>364</v>
      </c>
      <c r="Z11" s="55">
        <f t="shared" si="7"/>
        <v>853</v>
      </c>
      <c r="AA11" s="55">
        <v>29</v>
      </c>
      <c r="AB11" s="55">
        <v>32</v>
      </c>
      <c r="AC11" s="55">
        <f t="shared" si="8"/>
        <v>61</v>
      </c>
    </row>
    <row r="12" spans="1:29" ht="17.25" customHeight="1">
      <c r="A12" s="60">
        <v>7</v>
      </c>
      <c r="B12" s="57" t="s">
        <v>21</v>
      </c>
      <c r="C12" s="67">
        <v>1017259</v>
      </c>
      <c r="D12" s="67">
        <v>597021</v>
      </c>
      <c r="E12" s="54">
        <f t="shared" si="1"/>
        <v>1614280</v>
      </c>
      <c r="F12" s="55">
        <v>996810</v>
      </c>
      <c r="G12" s="55">
        <v>584956</v>
      </c>
      <c r="H12" s="55">
        <f t="shared" si="0"/>
        <v>1581766</v>
      </c>
      <c r="I12" s="55">
        <v>764588</v>
      </c>
      <c r="J12" s="55">
        <v>680828</v>
      </c>
      <c r="K12" s="55">
        <f t="shared" si="2"/>
        <v>1445416</v>
      </c>
      <c r="L12" s="55">
        <v>54197</v>
      </c>
      <c r="M12" s="55">
        <v>47781</v>
      </c>
      <c r="N12" s="55">
        <f t="shared" si="3"/>
        <v>101978</v>
      </c>
      <c r="O12" s="55">
        <v>76488</v>
      </c>
      <c r="P12" s="55">
        <v>67414</v>
      </c>
      <c r="Q12" s="55">
        <f t="shared" si="4"/>
        <v>143902</v>
      </c>
      <c r="R12" s="55">
        <v>58862</v>
      </c>
      <c r="S12" s="55">
        <v>52645</v>
      </c>
      <c r="T12" s="55">
        <f t="shared" si="5"/>
        <v>111507</v>
      </c>
      <c r="U12" s="55">
        <v>173705</v>
      </c>
      <c r="V12" s="55">
        <v>144175</v>
      </c>
      <c r="W12" s="55">
        <f t="shared" si="6"/>
        <v>317880</v>
      </c>
      <c r="X12" s="55">
        <v>181733</v>
      </c>
      <c r="Y12" s="55">
        <v>150859</v>
      </c>
      <c r="Z12" s="55">
        <f t="shared" si="7"/>
        <v>332592</v>
      </c>
      <c r="AA12" s="55">
        <v>133342</v>
      </c>
      <c r="AB12" s="55">
        <v>123532</v>
      </c>
      <c r="AC12" s="55">
        <f t="shared" si="8"/>
        <v>256874</v>
      </c>
    </row>
    <row r="13" spans="1:29" ht="17.25" customHeight="1">
      <c r="A13" s="60">
        <v>8</v>
      </c>
      <c r="B13" s="57" t="s">
        <v>22</v>
      </c>
      <c r="C13" s="67">
        <v>253178</v>
      </c>
      <c r="D13" s="67">
        <v>220321</v>
      </c>
      <c r="E13" s="54">
        <f t="shared" si="1"/>
        <v>473499</v>
      </c>
      <c r="F13" s="55">
        <v>229178</v>
      </c>
      <c r="G13" s="55">
        <v>196022</v>
      </c>
      <c r="H13" s="55">
        <f t="shared" si="0"/>
        <v>425200</v>
      </c>
      <c r="I13" s="55">
        <v>249284</v>
      </c>
      <c r="J13" s="55">
        <v>207767</v>
      </c>
      <c r="K13" s="55">
        <f t="shared" si="2"/>
        <v>457051</v>
      </c>
      <c r="L13" s="55">
        <v>71782</v>
      </c>
      <c r="M13" s="55">
        <v>65354</v>
      </c>
      <c r="N13" s="55">
        <f t="shared" si="3"/>
        <v>137136</v>
      </c>
      <c r="O13" s="55">
        <v>60573</v>
      </c>
      <c r="P13" s="55">
        <v>53153</v>
      </c>
      <c r="Q13" s="55">
        <f t="shared" si="4"/>
        <v>113726</v>
      </c>
      <c r="R13" s="55">
        <v>67171</v>
      </c>
      <c r="S13" s="55">
        <v>59993</v>
      </c>
      <c r="T13" s="55">
        <f t="shared" si="5"/>
        <v>127164</v>
      </c>
      <c r="U13" s="55">
        <v>0</v>
      </c>
      <c r="V13" s="55">
        <v>0</v>
      </c>
      <c r="W13" s="55">
        <f t="shared" si="6"/>
        <v>0</v>
      </c>
      <c r="X13" s="55">
        <v>0</v>
      </c>
      <c r="Y13" s="55">
        <v>0</v>
      </c>
      <c r="Z13" s="55">
        <f t="shared" si="7"/>
        <v>0</v>
      </c>
      <c r="AA13" s="55">
        <v>3047</v>
      </c>
      <c r="AB13" s="55">
        <v>2525</v>
      </c>
      <c r="AC13" s="55">
        <f t="shared" si="8"/>
        <v>5572</v>
      </c>
    </row>
    <row r="14" spans="1:29" ht="17.25" customHeight="1">
      <c r="A14" s="60">
        <v>9</v>
      </c>
      <c r="B14" s="57" t="s">
        <v>23</v>
      </c>
      <c r="C14" s="67">
        <v>67573</v>
      </c>
      <c r="D14" s="67">
        <v>61256</v>
      </c>
      <c r="E14" s="54">
        <f t="shared" si="1"/>
        <v>128829</v>
      </c>
      <c r="F14" s="55">
        <v>71919</v>
      </c>
      <c r="G14" s="55">
        <v>65344</v>
      </c>
      <c r="H14" s="55">
        <f t="shared" si="0"/>
        <v>137263</v>
      </c>
      <c r="I14" s="55">
        <v>78975</v>
      </c>
      <c r="J14" s="55">
        <v>72331</v>
      </c>
      <c r="K14" s="55">
        <f t="shared" si="2"/>
        <v>151306</v>
      </c>
      <c r="L14" s="55">
        <v>19144</v>
      </c>
      <c r="M14" s="55">
        <v>18339</v>
      </c>
      <c r="N14" s="55">
        <f t="shared" si="3"/>
        <v>37483</v>
      </c>
      <c r="O14" s="55">
        <v>21498</v>
      </c>
      <c r="P14" s="55">
        <v>20382</v>
      </c>
      <c r="Q14" s="55">
        <f t="shared" si="4"/>
        <v>41880</v>
      </c>
      <c r="R14" s="55">
        <v>23239</v>
      </c>
      <c r="S14" s="55">
        <v>22048</v>
      </c>
      <c r="T14" s="55">
        <f t="shared" si="5"/>
        <v>45287</v>
      </c>
      <c r="U14" s="55">
        <v>3634</v>
      </c>
      <c r="V14" s="55">
        <v>3437</v>
      </c>
      <c r="W14" s="55">
        <f t="shared" si="6"/>
        <v>7071</v>
      </c>
      <c r="X14" s="55">
        <v>4071</v>
      </c>
      <c r="Y14" s="55">
        <v>3771</v>
      </c>
      <c r="Z14" s="55">
        <f t="shared" si="7"/>
        <v>7842</v>
      </c>
      <c r="AA14" s="55">
        <v>3709</v>
      </c>
      <c r="AB14" s="55">
        <v>3515</v>
      </c>
      <c r="AC14" s="55">
        <f t="shared" si="8"/>
        <v>7224</v>
      </c>
    </row>
    <row r="15" spans="1:29" ht="17.25" customHeight="1">
      <c r="A15" s="60">
        <v>10</v>
      </c>
      <c r="B15" s="57" t="s">
        <v>24</v>
      </c>
      <c r="C15" s="67">
        <v>140435</v>
      </c>
      <c r="D15" s="67">
        <v>125895</v>
      </c>
      <c r="E15" s="54">
        <f t="shared" si="1"/>
        <v>266330</v>
      </c>
      <c r="F15" s="55">
        <v>124932</v>
      </c>
      <c r="G15" s="55">
        <v>114888</v>
      </c>
      <c r="H15" s="55">
        <f t="shared" si="0"/>
        <v>239820</v>
      </c>
      <c r="I15" s="55">
        <v>148204</v>
      </c>
      <c r="J15" s="55">
        <v>123464</v>
      </c>
      <c r="K15" s="55">
        <f t="shared" si="2"/>
        <v>271668</v>
      </c>
      <c r="L15" s="55">
        <v>9235</v>
      </c>
      <c r="M15" s="55">
        <v>8035</v>
      </c>
      <c r="N15" s="55">
        <f t="shared" si="3"/>
        <v>17270</v>
      </c>
      <c r="O15" s="55">
        <v>9310</v>
      </c>
      <c r="P15" s="55">
        <v>8236</v>
      </c>
      <c r="Q15" s="55">
        <f t="shared" si="4"/>
        <v>17546</v>
      </c>
      <c r="R15" s="55">
        <v>13668</v>
      </c>
      <c r="S15" s="55">
        <v>11651</v>
      </c>
      <c r="T15" s="55">
        <f t="shared" si="5"/>
        <v>25319</v>
      </c>
      <c r="U15" s="55">
        <v>19126</v>
      </c>
      <c r="V15" s="55">
        <v>16485</v>
      </c>
      <c r="W15" s="55">
        <f t="shared" si="6"/>
        <v>35611</v>
      </c>
      <c r="X15" s="55">
        <v>21008</v>
      </c>
      <c r="Y15" s="55">
        <v>16580</v>
      </c>
      <c r="Z15" s="55">
        <f t="shared" si="7"/>
        <v>37588</v>
      </c>
      <c r="AA15" s="55">
        <v>21329</v>
      </c>
      <c r="AB15" s="55">
        <v>16811</v>
      </c>
      <c r="AC15" s="55">
        <f t="shared" si="8"/>
        <v>38140</v>
      </c>
    </row>
    <row r="16" spans="1:29" ht="17.25" customHeight="1">
      <c r="A16" s="60">
        <v>11</v>
      </c>
      <c r="B16" s="57" t="s">
        <v>52</v>
      </c>
      <c r="C16" s="67">
        <v>780526</v>
      </c>
      <c r="D16" s="67">
        <v>772469</v>
      </c>
      <c r="E16" s="54">
        <f t="shared" si="1"/>
        <v>1552995</v>
      </c>
      <c r="F16" s="55">
        <v>609592</v>
      </c>
      <c r="G16" s="55">
        <v>525338</v>
      </c>
      <c r="H16" s="55">
        <f t="shared" si="0"/>
        <v>1134930</v>
      </c>
      <c r="I16" s="69">
        <v>535578</v>
      </c>
      <c r="J16" s="69">
        <v>456965</v>
      </c>
      <c r="K16" s="55">
        <f t="shared" si="2"/>
        <v>992543</v>
      </c>
      <c r="L16" s="69">
        <v>123696</v>
      </c>
      <c r="M16" s="69">
        <v>122425</v>
      </c>
      <c r="N16" s="55">
        <f t="shared" si="3"/>
        <v>246121</v>
      </c>
      <c r="O16" s="69">
        <v>83050</v>
      </c>
      <c r="P16" s="69">
        <v>63820</v>
      </c>
      <c r="Q16" s="55">
        <f t="shared" si="4"/>
        <v>146870</v>
      </c>
      <c r="R16" s="69">
        <v>78812</v>
      </c>
      <c r="S16" s="69">
        <v>62439</v>
      </c>
      <c r="T16" s="55">
        <f t="shared" si="5"/>
        <v>141251</v>
      </c>
      <c r="U16" s="69">
        <v>257258</v>
      </c>
      <c r="V16" s="69">
        <v>252465</v>
      </c>
      <c r="W16" s="55">
        <f t="shared" si="6"/>
        <v>509723</v>
      </c>
      <c r="X16" s="69">
        <v>197759</v>
      </c>
      <c r="Y16" s="69">
        <v>162448</v>
      </c>
      <c r="Z16" s="55">
        <f t="shared" si="7"/>
        <v>360207</v>
      </c>
      <c r="AA16" s="69">
        <v>168511</v>
      </c>
      <c r="AB16" s="69">
        <v>137518</v>
      </c>
      <c r="AC16" s="55">
        <f t="shared" si="8"/>
        <v>306029</v>
      </c>
    </row>
    <row r="17" spans="1:29" ht="17.25" customHeight="1">
      <c r="A17" s="60">
        <v>12</v>
      </c>
      <c r="B17" s="57" t="s">
        <v>25</v>
      </c>
      <c r="C17" s="67">
        <v>602910</v>
      </c>
      <c r="D17" s="67">
        <v>561287</v>
      </c>
      <c r="E17" s="54">
        <f t="shared" si="1"/>
        <v>1164197</v>
      </c>
      <c r="F17" s="55">
        <v>572994</v>
      </c>
      <c r="G17" s="55">
        <v>528801</v>
      </c>
      <c r="H17" s="55">
        <f t="shared" si="0"/>
        <v>1101795</v>
      </c>
      <c r="I17" s="55">
        <v>661649</v>
      </c>
      <c r="J17" s="55">
        <v>617218</v>
      </c>
      <c r="K17" s="55">
        <f t="shared" si="2"/>
        <v>1278867</v>
      </c>
      <c r="L17" s="55">
        <v>120043</v>
      </c>
      <c r="M17" s="55">
        <v>112122</v>
      </c>
      <c r="N17" s="55">
        <f t="shared" si="3"/>
        <v>232165</v>
      </c>
      <c r="O17" s="55">
        <v>114214</v>
      </c>
      <c r="P17" s="55">
        <v>104024</v>
      </c>
      <c r="Q17" s="55">
        <f t="shared" si="4"/>
        <v>218238</v>
      </c>
      <c r="R17" s="55">
        <v>133323</v>
      </c>
      <c r="S17" s="55">
        <v>126095</v>
      </c>
      <c r="T17" s="55">
        <f t="shared" si="5"/>
        <v>259418</v>
      </c>
      <c r="U17" s="55">
        <v>46738</v>
      </c>
      <c r="V17" s="55">
        <v>44091</v>
      </c>
      <c r="W17" s="55">
        <f t="shared" si="6"/>
        <v>90829</v>
      </c>
      <c r="X17" s="55">
        <v>45321</v>
      </c>
      <c r="Y17" s="55">
        <v>42253</v>
      </c>
      <c r="Z17" s="55">
        <f t="shared" si="7"/>
        <v>87574</v>
      </c>
      <c r="AA17" s="55">
        <v>50282</v>
      </c>
      <c r="AB17" s="55">
        <v>47453</v>
      </c>
      <c r="AC17" s="55">
        <f t="shared" si="8"/>
        <v>97735</v>
      </c>
    </row>
    <row r="18" spans="1:29" ht="17.25" customHeight="1">
      <c r="A18" s="60">
        <v>13</v>
      </c>
      <c r="B18" s="57" t="s">
        <v>26</v>
      </c>
      <c r="C18" s="67">
        <v>225426</v>
      </c>
      <c r="D18" s="67">
        <v>220220</v>
      </c>
      <c r="E18" s="54">
        <f t="shared" si="1"/>
        <v>445646</v>
      </c>
      <c r="F18" s="55">
        <v>242849</v>
      </c>
      <c r="G18" s="55">
        <v>236260</v>
      </c>
      <c r="H18" s="55">
        <f t="shared" si="0"/>
        <v>479109</v>
      </c>
      <c r="I18" s="55">
        <v>247600</v>
      </c>
      <c r="J18" s="55">
        <v>241919</v>
      </c>
      <c r="K18" s="55">
        <f t="shared" si="2"/>
        <v>489519</v>
      </c>
      <c r="L18" s="55">
        <v>22840</v>
      </c>
      <c r="M18" s="55">
        <v>21955</v>
      </c>
      <c r="N18" s="55">
        <f t="shared" si="3"/>
        <v>44795</v>
      </c>
      <c r="O18" s="55">
        <v>24830</v>
      </c>
      <c r="P18" s="55">
        <v>23500</v>
      </c>
      <c r="Q18" s="55">
        <f t="shared" si="4"/>
        <v>48330</v>
      </c>
      <c r="R18" s="55">
        <v>27685</v>
      </c>
      <c r="S18" s="55">
        <v>26213</v>
      </c>
      <c r="T18" s="55">
        <f t="shared" si="5"/>
        <v>53898</v>
      </c>
      <c r="U18" s="55">
        <v>4218</v>
      </c>
      <c r="V18" s="55">
        <v>3957</v>
      </c>
      <c r="W18" s="55">
        <f t="shared" si="6"/>
        <v>8175</v>
      </c>
      <c r="X18" s="55">
        <v>4044</v>
      </c>
      <c r="Y18" s="55">
        <v>3783</v>
      </c>
      <c r="Z18" s="55">
        <f t="shared" si="7"/>
        <v>7827</v>
      </c>
      <c r="AA18" s="55">
        <v>4230</v>
      </c>
      <c r="AB18" s="55">
        <v>3923</v>
      </c>
      <c r="AC18" s="55">
        <f t="shared" si="8"/>
        <v>8153</v>
      </c>
    </row>
    <row r="19" spans="1:29" ht="17.25" customHeight="1">
      <c r="A19" s="60">
        <v>14</v>
      </c>
      <c r="B19" s="57" t="s">
        <v>27</v>
      </c>
      <c r="C19" s="67">
        <v>1405268</v>
      </c>
      <c r="D19" s="67">
        <v>1255378</v>
      </c>
      <c r="E19" s="54">
        <f t="shared" si="1"/>
        <v>2660646</v>
      </c>
      <c r="F19" s="55">
        <v>1375778</v>
      </c>
      <c r="G19" s="55">
        <v>1230467</v>
      </c>
      <c r="H19" s="55">
        <f t="shared" si="0"/>
        <v>2606245</v>
      </c>
      <c r="I19" s="55">
        <v>912497</v>
      </c>
      <c r="J19" s="55">
        <v>818056</v>
      </c>
      <c r="K19" s="55">
        <f t="shared" si="2"/>
        <v>1730553</v>
      </c>
      <c r="L19" s="55">
        <v>178242</v>
      </c>
      <c r="M19" s="55">
        <v>174504</v>
      </c>
      <c r="N19" s="55">
        <f t="shared" si="3"/>
        <v>352746</v>
      </c>
      <c r="O19" s="55">
        <v>246326</v>
      </c>
      <c r="P19" s="55">
        <v>218996</v>
      </c>
      <c r="Q19" s="55">
        <f t="shared" si="4"/>
        <v>465322</v>
      </c>
      <c r="R19" s="55">
        <v>165875</v>
      </c>
      <c r="S19" s="55">
        <v>149644</v>
      </c>
      <c r="T19" s="55">
        <f t="shared" si="5"/>
        <v>315519</v>
      </c>
      <c r="U19" s="55">
        <v>326119</v>
      </c>
      <c r="V19" s="55">
        <v>303690</v>
      </c>
      <c r="W19" s="55">
        <f t="shared" si="6"/>
        <v>629809</v>
      </c>
      <c r="X19" s="55">
        <v>336775</v>
      </c>
      <c r="Y19" s="55">
        <v>292657</v>
      </c>
      <c r="Z19" s="55">
        <f t="shared" si="7"/>
        <v>629432</v>
      </c>
      <c r="AA19" s="55">
        <v>201194</v>
      </c>
      <c r="AB19" s="55">
        <v>175332</v>
      </c>
      <c r="AC19" s="55">
        <f t="shared" si="8"/>
        <v>376526</v>
      </c>
    </row>
    <row r="20" spans="1:29" ht="17.25" customHeight="1">
      <c r="A20" s="60">
        <v>15</v>
      </c>
      <c r="B20" s="57" t="s">
        <v>28</v>
      </c>
      <c r="C20" s="67">
        <v>1195436</v>
      </c>
      <c r="D20" s="67">
        <v>1056997</v>
      </c>
      <c r="E20" s="54">
        <f t="shared" si="1"/>
        <v>2252433</v>
      </c>
      <c r="F20" s="55">
        <v>1295369</v>
      </c>
      <c r="G20" s="55">
        <v>1188895</v>
      </c>
      <c r="H20" s="55">
        <f t="shared" si="0"/>
        <v>2484264</v>
      </c>
      <c r="I20" s="55">
        <v>1247321</v>
      </c>
      <c r="J20" s="55">
        <v>1129375</v>
      </c>
      <c r="K20" s="55">
        <f t="shared" si="2"/>
        <v>2376696</v>
      </c>
      <c r="L20" s="55">
        <v>176659</v>
      </c>
      <c r="M20" s="55">
        <v>162285</v>
      </c>
      <c r="N20" s="55">
        <f t="shared" si="3"/>
        <v>338944</v>
      </c>
      <c r="O20" s="55">
        <v>190810</v>
      </c>
      <c r="P20" s="55">
        <v>178415</v>
      </c>
      <c r="Q20" s="55">
        <f t="shared" si="4"/>
        <v>369225</v>
      </c>
      <c r="R20" s="55">
        <v>179347</v>
      </c>
      <c r="S20" s="55">
        <v>166805</v>
      </c>
      <c r="T20" s="55">
        <f t="shared" si="5"/>
        <v>346152</v>
      </c>
      <c r="U20" s="55">
        <v>164575</v>
      </c>
      <c r="V20" s="55">
        <v>149469</v>
      </c>
      <c r="W20" s="55">
        <f t="shared" si="6"/>
        <v>314044</v>
      </c>
      <c r="X20" s="55">
        <v>168759</v>
      </c>
      <c r="Y20" s="55">
        <v>153318</v>
      </c>
      <c r="Z20" s="55">
        <f t="shared" si="7"/>
        <v>322077</v>
      </c>
      <c r="AA20" s="55">
        <v>160772</v>
      </c>
      <c r="AB20" s="55">
        <v>145824</v>
      </c>
      <c r="AC20" s="55">
        <f t="shared" si="8"/>
        <v>306596</v>
      </c>
    </row>
    <row r="21" spans="1:29" ht="17.25" customHeight="1">
      <c r="A21" s="60">
        <v>16</v>
      </c>
      <c r="B21" s="57" t="s">
        <v>29</v>
      </c>
      <c r="C21" s="70">
        <v>53076</v>
      </c>
      <c r="D21" s="67">
        <v>51019</v>
      </c>
      <c r="E21" s="54">
        <f t="shared" si="1"/>
        <v>104095</v>
      </c>
      <c r="F21" s="55">
        <v>49896</v>
      </c>
      <c r="G21" s="55">
        <v>47813</v>
      </c>
      <c r="H21" s="55">
        <f t="shared" si="0"/>
        <v>97709</v>
      </c>
      <c r="I21" s="55">
        <v>55775</v>
      </c>
      <c r="J21" s="55">
        <v>53097</v>
      </c>
      <c r="K21" s="55">
        <f t="shared" si="2"/>
        <v>108872</v>
      </c>
      <c r="L21" s="55">
        <v>1495</v>
      </c>
      <c r="M21" s="55">
        <v>1312</v>
      </c>
      <c r="N21" s="55">
        <f t="shared" si="3"/>
        <v>2807</v>
      </c>
      <c r="O21" s="55">
        <v>1310</v>
      </c>
      <c r="P21" s="55">
        <v>1182</v>
      </c>
      <c r="Q21" s="55">
        <f t="shared" si="4"/>
        <v>2492</v>
      </c>
      <c r="R21" s="55">
        <v>1782</v>
      </c>
      <c r="S21" s="55">
        <v>1622</v>
      </c>
      <c r="T21" s="55">
        <f t="shared" si="5"/>
        <v>3404</v>
      </c>
      <c r="U21" s="55">
        <v>21317</v>
      </c>
      <c r="V21" s="55">
        <v>19715</v>
      </c>
      <c r="W21" s="55">
        <f t="shared" si="6"/>
        <v>41032</v>
      </c>
      <c r="X21" s="55">
        <v>20073</v>
      </c>
      <c r="Y21" s="55">
        <v>18559</v>
      </c>
      <c r="Z21" s="55">
        <f t="shared" si="7"/>
        <v>38632</v>
      </c>
      <c r="AA21" s="55">
        <v>27532</v>
      </c>
      <c r="AB21" s="55">
        <v>25150</v>
      </c>
      <c r="AC21" s="55">
        <f t="shared" si="8"/>
        <v>52682</v>
      </c>
    </row>
    <row r="22" spans="1:29" ht="17.25" customHeight="1">
      <c r="A22" s="60">
        <v>17</v>
      </c>
      <c r="B22" s="57" t="s">
        <v>30</v>
      </c>
      <c r="C22" s="70">
        <v>97186</v>
      </c>
      <c r="D22" s="67">
        <v>91326</v>
      </c>
      <c r="E22" s="54">
        <f t="shared" si="1"/>
        <v>188512</v>
      </c>
      <c r="F22" s="55">
        <v>79913</v>
      </c>
      <c r="G22" s="55">
        <v>79400</v>
      </c>
      <c r="H22" s="55">
        <f t="shared" si="0"/>
        <v>159313</v>
      </c>
      <c r="I22" s="55">
        <v>67952</v>
      </c>
      <c r="J22" s="55">
        <v>67507</v>
      </c>
      <c r="K22" s="55">
        <f t="shared" si="2"/>
        <v>135459</v>
      </c>
      <c r="L22" s="55">
        <v>561</v>
      </c>
      <c r="M22" s="55">
        <v>471</v>
      </c>
      <c r="N22" s="55">
        <f t="shared" si="3"/>
        <v>1032</v>
      </c>
      <c r="O22" s="55">
        <v>528</v>
      </c>
      <c r="P22" s="55">
        <v>441</v>
      </c>
      <c r="Q22" s="55">
        <f t="shared" si="4"/>
        <v>969</v>
      </c>
      <c r="R22" s="55">
        <v>1076</v>
      </c>
      <c r="S22" s="55">
        <v>1028</v>
      </c>
      <c r="T22" s="55">
        <f t="shared" si="5"/>
        <v>2104</v>
      </c>
      <c r="U22" s="55">
        <v>77861</v>
      </c>
      <c r="V22" s="55">
        <v>72954</v>
      </c>
      <c r="W22" s="55">
        <f t="shared" si="6"/>
        <v>150815</v>
      </c>
      <c r="X22" s="55">
        <v>64023</v>
      </c>
      <c r="Y22" s="55">
        <v>63428</v>
      </c>
      <c r="Z22" s="55">
        <f t="shared" si="7"/>
        <v>127451</v>
      </c>
      <c r="AA22" s="55">
        <v>61999</v>
      </c>
      <c r="AB22" s="55">
        <v>61915</v>
      </c>
      <c r="AC22" s="55">
        <f t="shared" si="8"/>
        <v>123914</v>
      </c>
    </row>
    <row r="23" spans="1:29" ht="17.25" customHeight="1">
      <c r="A23" s="60">
        <v>18</v>
      </c>
      <c r="B23" s="57" t="s">
        <v>31</v>
      </c>
      <c r="C23" s="67">
        <v>20744</v>
      </c>
      <c r="D23" s="67">
        <v>18943</v>
      </c>
      <c r="E23" s="54">
        <f t="shared" si="1"/>
        <v>39687</v>
      </c>
      <c r="F23" s="55">
        <v>17418</v>
      </c>
      <c r="G23" s="55">
        <v>16404</v>
      </c>
      <c r="H23" s="55">
        <f t="shared" si="0"/>
        <v>33822</v>
      </c>
      <c r="I23" s="55">
        <v>16522</v>
      </c>
      <c r="J23" s="55">
        <v>14949</v>
      </c>
      <c r="K23" s="55">
        <f t="shared" si="2"/>
        <v>31471</v>
      </c>
      <c r="L23" s="55">
        <v>7</v>
      </c>
      <c r="M23" s="55">
        <v>2</v>
      </c>
      <c r="N23" s="55">
        <f t="shared" si="3"/>
        <v>9</v>
      </c>
      <c r="O23" s="55">
        <v>62</v>
      </c>
      <c r="P23" s="55">
        <v>49</v>
      </c>
      <c r="Q23" s="55">
        <f t="shared" si="4"/>
        <v>111</v>
      </c>
      <c r="R23" s="55">
        <v>142</v>
      </c>
      <c r="S23" s="55">
        <v>100</v>
      </c>
      <c r="T23" s="55">
        <f t="shared" si="5"/>
        <v>242</v>
      </c>
      <c r="U23" s="55">
        <v>30545</v>
      </c>
      <c r="V23" s="55">
        <v>27682</v>
      </c>
      <c r="W23" s="55">
        <f t="shared" si="6"/>
        <v>58227</v>
      </c>
      <c r="X23" s="55">
        <v>17356</v>
      </c>
      <c r="Y23" s="55">
        <v>16355</v>
      </c>
      <c r="Z23" s="55">
        <f t="shared" si="7"/>
        <v>33711</v>
      </c>
      <c r="AA23" s="55">
        <v>16340</v>
      </c>
      <c r="AB23" s="55">
        <v>14810</v>
      </c>
      <c r="AC23" s="55">
        <f t="shared" si="8"/>
        <v>31150</v>
      </c>
    </row>
    <row r="24" spans="1:29" ht="17.25" customHeight="1">
      <c r="A24" s="60">
        <v>19</v>
      </c>
      <c r="B24" s="57" t="s">
        <v>54</v>
      </c>
      <c r="C24" s="67">
        <v>28379</v>
      </c>
      <c r="D24" s="67">
        <v>25849</v>
      </c>
      <c r="E24" s="54">
        <f t="shared" si="1"/>
        <v>54228</v>
      </c>
      <c r="F24" s="55">
        <v>29406</v>
      </c>
      <c r="G24" s="55">
        <v>26648</v>
      </c>
      <c r="H24" s="55">
        <f t="shared" si="0"/>
        <v>56054</v>
      </c>
      <c r="I24" s="55">
        <v>22412</v>
      </c>
      <c r="J24" s="55">
        <v>20446</v>
      </c>
      <c r="K24" s="55">
        <f t="shared" si="2"/>
        <v>42858</v>
      </c>
      <c r="L24" s="55">
        <v>0</v>
      </c>
      <c r="M24" s="55">
        <v>0</v>
      </c>
      <c r="N24" s="55">
        <f t="shared" si="3"/>
        <v>0</v>
      </c>
      <c r="O24" s="55">
        <v>0</v>
      </c>
      <c r="P24" s="55">
        <v>0</v>
      </c>
      <c r="Q24" s="55">
        <f t="shared" si="4"/>
        <v>0</v>
      </c>
      <c r="R24" s="55">
        <v>635</v>
      </c>
      <c r="S24" s="55">
        <v>564</v>
      </c>
      <c r="T24" s="55">
        <f t="shared" si="5"/>
        <v>1199</v>
      </c>
      <c r="U24" s="55">
        <v>26938</v>
      </c>
      <c r="V24" s="55">
        <v>24251</v>
      </c>
      <c r="W24" s="55">
        <f t="shared" si="6"/>
        <v>51189</v>
      </c>
      <c r="X24" s="55">
        <v>25415</v>
      </c>
      <c r="Y24" s="55">
        <v>22882</v>
      </c>
      <c r="Z24" s="55">
        <f t="shared" si="7"/>
        <v>48297</v>
      </c>
      <c r="AA24" s="55">
        <v>21249</v>
      </c>
      <c r="AB24" s="55">
        <v>19462</v>
      </c>
      <c r="AC24" s="55">
        <f t="shared" si="8"/>
        <v>40711</v>
      </c>
    </row>
    <row r="25" spans="1:29" ht="17.25" customHeight="1">
      <c r="A25" s="60">
        <v>20</v>
      </c>
      <c r="B25" s="59" t="s">
        <v>55</v>
      </c>
      <c r="C25" s="67">
        <v>510477</v>
      </c>
      <c r="D25" s="67">
        <v>487191</v>
      </c>
      <c r="E25" s="54">
        <f t="shared" si="1"/>
        <v>997668</v>
      </c>
      <c r="F25" s="55">
        <v>646445</v>
      </c>
      <c r="G25" s="55">
        <v>606470</v>
      </c>
      <c r="H25" s="55">
        <f t="shared" si="0"/>
        <v>1252915</v>
      </c>
      <c r="I25" s="55">
        <v>620079</v>
      </c>
      <c r="J25" s="55">
        <v>576766</v>
      </c>
      <c r="K25" s="55">
        <f t="shared" si="2"/>
        <v>1196845</v>
      </c>
      <c r="L25" s="55">
        <v>98164</v>
      </c>
      <c r="M25" s="55">
        <v>92231</v>
      </c>
      <c r="N25" s="55">
        <f t="shared" si="3"/>
        <v>190395</v>
      </c>
      <c r="O25" s="55">
        <v>116174</v>
      </c>
      <c r="P25" s="55">
        <v>109911</v>
      </c>
      <c r="Q25" s="55">
        <f t="shared" si="4"/>
        <v>226085</v>
      </c>
      <c r="R25" s="55">
        <v>136374</v>
      </c>
      <c r="S25" s="55">
        <v>129788</v>
      </c>
      <c r="T25" s="55">
        <f t="shared" si="5"/>
        <v>266162</v>
      </c>
      <c r="U25" s="55">
        <v>156720</v>
      </c>
      <c r="V25" s="55">
        <v>163114</v>
      </c>
      <c r="W25" s="55">
        <f t="shared" si="6"/>
        <v>319834</v>
      </c>
      <c r="X25" s="55">
        <v>172626</v>
      </c>
      <c r="Y25" s="55">
        <v>155285</v>
      </c>
      <c r="Z25" s="55">
        <f t="shared" si="7"/>
        <v>327911</v>
      </c>
      <c r="AA25" s="55">
        <v>160517</v>
      </c>
      <c r="AB25" s="55">
        <v>145173</v>
      </c>
      <c r="AC25" s="55">
        <f t="shared" si="8"/>
        <v>305690</v>
      </c>
    </row>
    <row r="26" spans="1:29" ht="17.25" customHeight="1">
      <c r="A26" s="60">
        <v>21</v>
      </c>
      <c r="B26" s="57" t="s">
        <v>104</v>
      </c>
      <c r="C26" s="70">
        <v>246500</v>
      </c>
      <c r="D26" s="67">
        <v>228065</v>
      </c>
      <c r="E26" s="54">
        <f t="shared" si="1"/>
        <v>474565</v>
      </c>
      <c r="F26" s="55">
        <v>217166</v>
      </c>
      <c r="G26" s="55">
        <v>193213</v>
      </c>
      <c r="H26" s="55">
        <f t="shared" si="0"/>
        <v>410379</v>
      </c>
      <c r="I26" s="55">
        <v>208701</v>
      </c>
      <c r="J26" s="55">
        <v>181029</v>
      </c>
      <c r="K26" s="55">
        <f t="shared" si="2"/>
        <v>389730</v>
      </c>
      <c r="L26" s="67">
        <v>128351</v>
      </c>
      <c r="M26" s="67">
        <v>118556</v>
      </c>
      <c r="N26" s="67">
        <f t="shared" si="3"/>
        <v>246907</v>
      </c>
      <c r="O26" s="55">
        <v>108535</v>
      </c>
      <c r="P26" s="55">
        <v>98950</v>
      </c>
      <c r="Q26" s="55">
        <f t="shared" si="4"/>
        <v>207485</v>
      </c>
      <c r="R26" s="55">
        <v>106011</v>
      </c>
      <c r="S26" s="55">
        <v>96404</v>
      </c>
      <c r="T26" s="55">
        <f t="shared" si="5"/>
        <v>202415</v>
      </c>
      <c r="U26" s="55">
        <v>0</v>
      </c>
      <c r="V26" s="55">
        <v>0</v>
      </c>
      <c r="W26" s="55">
        <f t="shared" si="6"/>
        <v>0</v>
      </c>
      <c r="X26" s="55">
        <v>0</v>
      </c>
      <c r="Y26" s="55">
        <v>0</v>
      </c>
      <c r="Z26" s="55">
        <f t="shared" si="7"/>
        <v>0</v>
      </c>
      <c r="AA26" s="55">
        <v>0</v>
      </c>
      <c r="AB26" s="55">
        <v>0</v>
      </c>
      <c r="AC26" s="55">
        <f t="shared" si="8"/>
        <v>0</v>
      </c>
    </row>
    <row r="27" spans="1:29" ht="17.25" customHeight="1">
      <c r="A27" s="60">
        <v>22</v>
      </c>
      <c r="B27" s="57" t="s">
        <v>32</v>
      </c>
      <c r="C27" s="70">
        <v>1386789</v>
      </c>
      <c r="D27" s="67">
        <v>1205812</v>
      </c>
      <c r="E27" s="54">
        <f t="shared" si="1"/>
        <v>2592601</v>
      </c>
      <c r="F27" s="55">
        <v>1470337</v>
      </c>
      <c r="G27" s="55">
        <v>1269185</v>
      </c>
      <c r="H27" s="55">
        <f t="shared" si="0"/>
        <v>2739522</v>
      </c>
      <c r="I27" s="55">
        <v>1298085</v>
      </c>
      <c r="J27" s="55">
        <v>1266023</v>
      </c>
      <c r="K27" s="55">
        <f t="shared" si="2"/>
        <v>2564108</v>
      </c>
      <c r="L27" s="55">
        <v>274177</v>
      </c>
      <c r="M27" s="55">
        <v>238276</v>
      </c>
      <c r="N27" s="55">
        <f t="shared" si="3"/>
        <v>512453</v>
      </c>
      <c r="O27" s="55">
        <v>291992</v>
      </c>
      <c r="P27" s="55">
        <v>244860</v>
      </c>
      <c r="Q27" s="55">
        <f t="shared" si="4"/>
        <v>536852</v>
      </c>
      <c r="R27" s="55">
        <v>285250</v>
      </c>
      <c r="S27" s="55">
        <v>277640</v>
      </c>
      <c r="T27" s="55">
        <f t="shared" si="5"/>
        <v>562890</v>
      </c>
      <c r="U27" s="55">
        <v>202520</v>
      </c>
      <c r="V27" s="55">
        <v>179628</v>
      </c>
      <c r="W27" s="55">
        <f t="shared" si="6"/>
        <v>382148</v>
      </c>
      <c r="X27" s="55">
        <v>210874</v>
      </c>
      <c r="Y27" s="55">
        <v>184201</v>
      </c>
      <c r="Z27" s="55">
        <f t="shared" si="7"/>
        <v>395075</v>
      </c>
      <c r="AA27" s="55">
        <v>169915</v>
      </c>
      <c r="AB27" s="55">
        <v>169050</v>
      </c>
      <c r="AC27" s="55">
        <f t="shared" si="8"/>
        <v>338965</v>
      </c>
    </row>
    <row r="28" spans="1:29" ht="17.25" customHeight="1">
      <c r="A28" s="60">
        <v>23</v>
      </c>
      <c r="B28" s="57" t="s">
        <v>33</v>
      </c>
      <c r="C28" s="70">
        <v>8977</v>
      </c>
      <c r="D28" s="67">
        <v>8026</v>
      </c>
      <c r="E28" s="54">
        <f t="shared" si="1"/>
        <v>17003</v>
      </c>
      <c r="F28" s="55">
        <v>11388</v>
      </c>
      <c r="G28" s="55">
        <v>10590</v>
      </c>
      <c r="H28" s="55">
        <f t="shared" si="0"/>
        <v>21978</v>
      </c>
      <c r="I28" s="55">
        <v>8957</v>
      </c>
      <c r="J28" s="55">
        <v>8664</v>
      </c>
      <c r="K28" s="55">
        <f t="shared" si="2"/>
        <v>17621</v>
      </c>
      <c r="L28" s="55">
        <v>741</v>
      </c>
      <c r="M28" s="55">
        <v>650</v>
      </c>
      <c r="N28" s="55">
        <f t="shared" si="3"/>
        <v>1391</v>
      </c>
      <c r="O28" s="55">
        <v>936</v>
      </c>
      <c r="P28" s="55">
        <v>818</v>
      </c>
      <c r="Q28" s="55">
        <f t="shared" si="4"/>
        <v>1754</v>
      </c>
      <c r="R28" s="55">
        <v>717</v>
      </c>
      <c r="S28" s="55">
        <v>660</v>
      </c>
      <c r="T28" s="55">
        <f t="shared" si="5"/>
        <v>1377</v>
      </c>
      <c r="U28" s="55">
        <v>3425</v>
      </c>
      <c r="V28" s="55">
        <v>3047</v>
      </c>
      <c r="W28" s="55">
        <f t="shared" si="6"/>
        <v>6472</v>
      </c>
      <c r="X28" s="55">
        <v>4150</v>
      </c>
      <c r="Y28" s="55">
        <v>3921</v>
      </c>
      <c r="Z28" s="55">
        <f t="shared" si="7"/>
        <v>8071</v>
      </c>
      <c r="AA28" s="55">
        <v>2020</v>
      </c>
      <c r="AB28" s="55">
        <v>1908</v>
      </c>
      <c r="AC28" s="55">
        <f t="shared" si="8"/>
        <v>3928</v>
      </c>
    </row>
    <row r="29" spans="1:29" ht="17.25" customHeight="1">
      <c r="A29" s="60">
        <v>24</v>
      </c>
      <c r="B29" s="57" t="s">
        <v>34</v>
      </c>
      <c r="C29" s="70">
        <v>621137</v>
      </c>
      <c r="D29" s="67">
        <v>583588</v>
      </c>
      <c r="E29" s="54">
        <f t="shared" si="1"/>
        <v>1204725</v>
      </c>
      <c r="F29" s="55">
        <v>641626</v>
      </c>
      <c r="G29" s="55">
        <v>593099</v>
      </c>
      <c r="H29" s="55">
        <f t="shared" si="0"/>
        <v>1234725</v>
      </c>
      <c r="I29" s="55">
        <v>718039</v>
      </c>
      <c r="J29" s="55">
        <v>664770</v>
      </c>
      <c r="K29" s="55">
        <f t="shared" si="2"/>
        <v>1382809</v>
      </c>
      <c r="L29" s="55">
        <v>156776</v>
      </c>
      <c r="M29" s="55">
        <v>148653</v>
      </c>
      <c r="N29" s="55">
        <f t="shared" si="3"/>
        <v>305429</v>
      </c>
      <c r="O29" s="55">
        <v>119165</v>
      </c>
      <c r="P29" s="55">
        <v>110893</v>
      </c>
      <c r="Q29" s="55">
        <f t="shared" si="4"/>
        <v>230058</v>
      </c>
      <c r="R29" s="55">
        <v>185970</v>
      </c>
      <c r="S29" s="55">
        <v>174039</v>
      </c>
      <c r="T29" s="55">
        <f t="shared" si="5"/>
        <v>360009</v>
      </c>
      <c r="U29" s="55">
        <v>11778</v>
      </c>
      <c r="V29" s="55">
        <v>10614</v>
      </c>
      <c r="W29" s="55">
        <f t="shared" si="6"/>
        <v>22392</v>
      </c>
      <c r="X29" s="55">
        <v>7889</v>
      </c>
      <c r="Y29" s="55">
        <v>5750</v>
      </c>
      <c r="Z29" s="55">
        <f t="shared" si="7"/>
        <v>13639</v>
      </c>
      <c r="AA29" s="55">
        <v>13447</v>
      </c>
      <c r="AB29" s="55">
        <v>11431</v>
      </c>
      <c r="AC29" s="55">
        <f t="shared" si="8"/>
        <v>24878</v>
      </c>
    </row>
    <row r="30" spans="1:29" ht="17.25" customHeight="1">
      <c r="A30" s="60">
        <v>25</v>
      </c>
      <c r="B30" s="57" t="s">
        <v>35</v>
      </c>
      <c r="C30" s="70">
        <v>54579</v>
      </c>
      <c r="D30" s="67">
        <v>51184</v>
      </c>
      <c r="E30" s="54">
        <f t="shared" si="1"/>
        <v>105763</v>
      </c>
      <c r="F30" s="55">
        <v>62959</v>
      </c>
      <c r="G30" s="55">
        <v>55992</v>
      </c>
      <c r="H30" s="55">
        <f t="shared" si="0"/>
        <v>118951</v>
      </c>
      <c r="I30" s="55">
        <v>55658</v>
      </c>
      <c r="J30" s="55">
        <v>51662</v>
      </c>
      <c r="K30" s="55">
        <f t="shared" si="2"/>
        <v>107320</v>
      </c>
      <c r="L30" s="55">
        <v>8897</v>
      </c>
      <c r="M30" s="55">
        <v>8438</v>
      </c>
      <c r="N30" s="55">
        <f t="shared" si="3"/>
        <v>17335</v>
      </c>
      <c r="O30" s="55">
        <v>10923</v>
      </c>
      <c r="P30" s="55">
        <v>9920</v>
      </c>
      <c r="Q30" s="55">
        <f t="shared" si="4"/>
        <v>20843</v>
      </c>
      <c r="R30" s="55">
        <v>9065</v>
      </c>
      <c r="S30" s="55">
        <v>8464</v>
      </c>
      <c r="T30" s="55">
        <f t="shared" si="5"/>
        <v>17529</v>
      </c>
      <c r="U30" s="55">
        <v>25398</v>
      </c>
      <c r="V30" s="55">
        <v>24432</v>
      </c>
      <c r="W30" s="55">
        <f t="shared" si="6"/>
        <v>49830</v>
      </c>
      <c r="X30" s="55">
        <v>28501</v>
      </c>
      <c r="Y30" s="55">
        <v>25499</v>
      </c>
      <c r="Z30" s="55">
        <f t="shared" si="7"/>
        <v>54000</v>
      </c>
      <c r="AA30" s="55">
        <v>26910</v>
      </c>
      <c r="AB30" s="55">
        <v>24522</v>
      </c>
      <c r="AC30" s="55">
        <f t="shared" si="8"/>
        <v>51432</v>
      </c>
    </row>
    <row r="31" spans="1:29" ht="17.25" customHeight="1">
      <c r="A31" s="60">
        <v>26</v>
      </c>
      <c r="B31" s="57" t="s">
        <v>36</v>
      </c>
      <c r="C31" s="70">
        <v>3084309</v>
      </c>
      <c r="D31" s="67">
        <v>2815176</v>
      </c>
      <c r="E31" s="54">
        <f t="shared" si="1"/>
        <v>5899485</v>
      </c>
      <c r="F31" s="55">
        <v>3742028</v>
      </c>
      <c r="G31" s="55">
        <v>3249029</v>
      </c>
      <c r="H31" s="55">
        <f t="shared" si="0"/>
        <v>6991057</v>
      </c>
      <c r="I31" s="55">
        <v>3455676</v>
      </c>
      <c r="J31" s="55">
        <v>3003836</v>
      </c>
      <c r="K31" s="55">
        <f t="shared" si="2"/>
        <v>6459512</v>
      </c>
      <c r="L31" s="55">
        <v>958343</v>
      </c>
      <c r="M31" s="55">
        <v>1079266</v>
      </c>
      <c r="N31" s="55">
        <f t="shared" si="3"/>
        <v>2037609</v>
      </c>
      <c r="O31" s="55">
        <v>979807</v>
      </c>
      <c r="P31" s="55">
        <v>708308</v>
      </c>
      <c r="Q31" s="55">
        <f t="shared" si="4"/>
        <v>1688115</v>
      </c>
      <c r="R31" s="55">
        <v>1005340</v>
      </c>
      <c r="S31" s="55">
        <v>883454</v>
      </c>
      <c r="T31" s="55">
        <f t="shared" si="5"/>
        <v>1888794</v>
      </c>
      <c r="U31" s="55">
        <v>23256</v>
      </c>
      <c r="V31" s="55">
        <v>22971</v>
      </c>
      <c r="W31" s="55">
        <f t="shared" si="6"/>
        <v>46227</v>
      </c>
      <c r="X31" s="55">
        <v>5810</v>
      </c>
      <c r="Y31" s="55">
        <v>3993</v>
      </c>
      <c r="Z31" s="55">
        <f t="shared" si="7"/>
        <v>9803</v>
      </c>
      <c r="AA31" s="55">
        <v>16291</v>
      </c>
      <c r="AB31" s="55">
        <v>13346</v>
      </c>
      <c r="AC31" s="55">
        <f t="shared" si="8"/>
        <v>29637</v>
      </c>
    </row>
    <row r="32" spans="1:29" ht="17.25" customHeight="1">
      <c r="A32" s="60">
        <v>27</v>
      </c>
      <c r="B32" s="57" t="s">
        <v>37</v>
      </c>
      <c r="C32" s="70">
        <v>155779</v>
      </c>
      <c r="D32" s="67">
        <v>140027</v>
      </c>
      <c r="E32" s="54">
        <f t="shared" si="1"/>
        <v>295806</v>
      </c>
      <c r="F32" s="55">
        <v>156112</v>
      </c>
      <c r="G32" s="55">
        <v>145509</v>
      </c>
      <c r="H32" s="55">
        <f t="shared" si="0"/>
        <v>301621</v>
      </c>
      <c r="I32" s="69">
        <v>153290</v>
      </c>
      <c r="J32" s="69">
        <v>143489</v>
      </c>
      <c r="K32" s="55">
        <f t="shared" si="2"/>
        <v>296779</v>
      </c>
      <c r="L32" s="69">
        <v>38942</v>
      </c>
      <c r="M32" s="69">
        <v>36105</v>
      </c>
      <c r="N32" s="55">
        <f t="shared" si="3"/>
        <v>75047</v>
      </c>
      <c r="O32" s="69">
        <v>39776</v>
      </c>
      <c r="P32" s="69">
        <v>37993</v>
      </c>
      <c r="Q32" s="55">
        <f t="shared" si="4"/>
        <v>77769</v>
      </c>
      <c r="R32" s="69">
        <v>39135</v>
      </c>
      <c r="S32" s="69">
        <v>37289</v>
      </c>
      <c r="T32" s="55">
        <f t="shared" si="5"/>
        <v>76424</v>
      </c>
      <c r="U32" s="69">
        <v>5895</v>
      </c>
      <c r="V32" s="69">
        <v>4811</v>
      </c>
      <c r="W32" s="55">
        <f t="shared" si="6"/>
        <v>10706</v>
      </c>
      <c r="X32" s="69">
        <v>5685</v>
      </c>
      <c r="Y32" s="69">
        <v>5088</v>
      </c>
      <c r="Z32" s="55">
        <f t="shared" si="7"/>
        <v>10773</v>
      </c>
      <c r="AA32" s="69">
        <v>5344</v>
      </c>
      <c r="AB32" s="69">
        <v>5410</v>
      </c>
      <c r="AC32" s="55">
        <f t="shared" si="8"/>
        <v>10754</v>
      </c>
    </row>
    <row r="33" spans="1:29" ht="17.25" customHeight="1">
      <c r="A33" s="60">
        <v>28</v>
      </c>
      <c r="B33" s="57" t="s">
        <v>38</v>
      </c>
      <c r="C33" s="70">
        <v>1248111</v>
      </c>
      <c r="D33" s="67">
        <v>1167948</v>
      </c>
      <c r="E33" s="54">
        <f t="shared" si="1"/>
        <v>2416059</v>
      </c>
      <c r="F33" s="55">
        <v>1296527</v>
      </c>
      <c r="G33" s="55">
        <v>1237358</v>
      </c>
      <c r="H33" s="55">
        <f t="shared" si="0"/>
        <v>2533885</v>
      </c>
      <c r="I33" s="55">
        <v>1345849</v>
      </c>
      <c r="J33" s="55">
        <v>1297622</v>
      </c>
      <c r="K33" s="55">
        <f t="shared" si="2"/>
        <v>2643471</v>
      </c>
      <c r="L33" s="55">
        <v>330289</v>
      </c>
      <c r="M33" s="55">
        <v>310326</v>
      </c>
      <c r="N33" s="55">
        <f t="shared" si="3"/>
        <v>640615</v>
      </c>
      <c r="O33" s="55">
        <v>335573</v>
      </c>
      <c r="P33" s="55">
        <v>319898</v>
      </c>
      <c r="Q33" s="55">
        <f t="shared" si="4"/>
        <v>655471</v>
      </c>
      <c r="R33" s="55">
        <v>392131</v>
      </c>
      <c r="S33" s="55">
        <v>382904</v>
      </c>
      <c r="T33" s="55">
        <f t="shared" si="5"/>
        <v>775035</v>
      </c>
      <c r="U33" s="55">
        <v>96419</v>
      </c>
      <c r="V33" s="55">
        <v>92533</v>
      </c>
      <c r="W33" s="55">
        <f t="shared" si="6"/>
        <v>188952</v>
      </c>
      <c r="X33" s="55">
        <v>111984</v>
      </c>
      <c r="Y33" s="55">
        <v>101499</v>
      </c>
      <c r="Z33" s="55">
        <f t="shared" si="7"/>
        <v>213483</v>
      </c>
      <c r="AA33" s="55">
        <v>101022</v>
      </c>
      <c r="AB33" s="55">
        <v>94443</v>
      </c>
      <c r="AC33" s="55">
        <f t="shared" si="8"/>
        <v>195465</v>
      </c>
    </row>
    <row r="34" spans="1:29" ht="17.25" customHeight="1">
      <c r="A34" s="60">
        <v>29</v>
      </c>
      <c r="B34" s="57" t="s">
        <v>39</v>
      </c>
      <c r="C34" s="70">
        <v>3657</v>
      </c>
      <c r="D34" s="67">
        <v>3492</v>
      </c>
      <c r="E34" s="54">
        <f t="shared" si="1"/>
        <v>7149</v>
      </c>
      <c r="F34" s="55">
        <v>4210</v>
      </c>
      <c r="G34" s="55">
        <v>3940</v>
      </c>
      <c r="H34" s="55">
        <f t="shared" si="0"/>
        <v>8150</v>
      </c>
      <c r="I34" s="55">
        <v>4154</v>
      </c>
      <c r="J34" s="55">
        <v>3988</v>
      </c>
      <c r="K34" s="55">
        <f t="shared" si="2"/>
        <v>8142</v>
      </c>
      <c r="L34" s="55">
        <v>0</v>
      </c>
      <c r="M34" s="55">
        <v>0</v>
      </c>
      <c r="N34" s="55">
        <f t="shared" si="3"/>
        <v>0</v>
      </c>
      <c r="O34" s="55">
        <v>0</v>
      </c>
      <c r="P34" s="55">
        <v>0</v>
      </c>
      <c r="Q34" s="55">
        <f t="shared" si="4"/>
        <v>0</v>
      </c>
      <c r="R34" s="55">
        <v>0</v>
      </c>
      <c r="S34" s="55">
        <v>0</v>
      </c>
      <c r="T34" s="55">
        <f t="shared" si="5"/>
        <v>0</v>
      </c>
      <c r="U34" s="55">
        <v>275</v>
      </c>
      <c r="V34" s="55">
        <v>230</v>
      </c>
      <c r="W34" s="55">
        <f t="shared" si="6"/>
        <v>505</v>
      </c>
      <c r="X34" s="55">
        <v>382</v>
      </c>
      <c r="Y34" s="55">
        <v>373</v>
      </c>
      <c r="Z34" s="55">
        <f t="shared" si="7"/>
        <v>755</v>
      </c>
      <c r="AA34" s="55">
        <v>371</v>
      </c>
      <c r="AB34" s="55">
        <v>325</v>
      </c>
      <c r="AC34" s="55">
        <f t="shared" si="8"/>
        <v>696</v>
      </c>
    </row>
    <row r="35" spans="1:29" ht="17.25" customHeight="1">
      <c r="A35" s="60">
        <v>30</v>
      </c>
      <c r="B35" s="57" t="s">
        <v>40</v>
      </c>
      <c r="C35" s="70">
        <v>9027</v>
      </c>
      <c r="D35" s="67">
        <v>7578</v>
      </c>
      <c r="E35" s="54">
        <f t="shared" si="1"/>
        <v>16605</v>
      </c>
      <c r="F35" s="55">
        <v>6723</v>
      </c>
      <c r="G35" s="55">
        <v>5549</v>
      </c>
      <c r="H35" s="55">
        <f t="shared" si="0"/>
        <v>12272</v>
      </c>
      <c r="I35" s="55">
        <v>7205</v>
      </c>
      <c r="J35" s="55">
        <v>5883</v>
      </c>
      <c r="K35" s="55">
        <f t="shared" si="2"/>
        <v>13088</v>
      </c>
      <c r="L35" s="55">
        <v>460</v>
      </c>
      <c r="M35" s="55">
        <v>423</v>
      </c>
      <c r="N35" s="55">
        <f t="shared" si="3"/>
        <v>883</v>
      </c>
      <c r="O35" s="55">
        <v>578</v>
      </c>
      <c r="P35" s="55">
        <v>537</v>
      </c>
      <c r="Q35" s="55">
        <f t="shared" si="4"/>
        <v>1115</v>
      </c>
      <c r="R35" s="55">
        <v>1138</v>
      </c>
      <c r="S35" s="55">
        <v>946</v>
      </c>
      <c r="T35" s="55">
        <f t="shared" si="5"/>
        <v>2084</v>
      </c>
      <c r="U35" s="55">
        <v>3</v>
      </c>
      <c r="V35" s="55">
        <v>12</v>
      </c>
      <c r="W35" s="55">
        <f t="shared" si="6"/>
        <v>15</v>
      </c>
      <c r="X35" s="55">
        <v>0</v>
      </c>
      <c r="Y35" s="55">
        <v>0</v>
      </c>
      <c r="Z35" s="55">
        <f t="shared" si="7"/>
        <v>0</v>
      </c>
      <c r="AA35" s="55">
        <v>3</v>
      </c>
      <c r="AB35" s="55">
        <v>5</v>
      </c>
      <c r="AC35" s="55">
        <f t="shared" si="8"/>
        <v>8</v>
      </c>
    </row>
    <row r="36" spans="1:29" ht="17.25" customHeight="1">
      <c r="A36" s="60">
        <v>31</v>
      </c>
      <c r="B36" s="57" t="s">
        <v>41</v>
      </c>
      <c r="C36" s="70">
        <v>4697</v>
      </c>
      <c r="D36" s="67">
        <v>4496</v>
      </c>
      <c r="E36" s="54">
        <f t="shared" si="1"/>
        <v>9193</v>
      </c>
      <c r="F36" s="55">
        <v>4274</v>
      </c>
      <c r="G36" s="55">
        <v>4034</v>
      </c>
      <c r="H36" s="55">
        <f t="shared" si="0"/>
        <v>8308</v>
      </c>
      <c r="I36" s="55">
        <v>4922</v>
      </c>
      <c r="J36" s="55">
        <v>4805</v>
      </c>
      <c r="K36" s="55">
        <f t="shared" si="2"/>
        <v>9727</v>
      </c>
      <c r="L36" s="55">
        <v>72</v>
      </c>
      <c r="M36" s="55">
        <v>61</v>
      </c>
      <c r="N36" s="55">
        <f t="shared" si="3"/>
        <v>133</v>
      </c>
      <c r="O36" s="55">
        <v>90</v>
      </c>
      <c r="P36" s="55">
        <v>83</v>
      </c>
      <c r="Q36" s="55">
        <f t="shared" si="4"/>
        <v>173</v>
      </c>
      <c r="R36" s="55">
        <v>100</v>
      </c>
      <c r="S36" s="55">
        <v>86</v>
      </c>
      <c r="T36" s="55">
        <f t="shared" si="5"/>
        <v>186</v>
      </c>
      <c r="U36" s="55">
        <v>3008</v>
      </c>
      <c r="V36" s="55">
        <v>3061</v>
      </c>
      <c r="W36" s="55">
        <f t="shared" si="6"/>
        <v>6069</v>
      </c>
      <c r="X36" s="55">
        <v>3113</v>
      </c>
      <c r="Y36" s="55">
        <v>3053</v>
      </c>
      <c r="Z36" s="55">
        <f t="shared" si="7"/>
        <v>6166</v>
      </c>
      <c r="AA36" s="55">
        <v>3703</v>
      </c>
      <c r="AB36" s="55">
        <v>3857</v>
      </c>
      <c r="AC36" s="55">
        <f t="shared" si="8"/>
        <v>7560</v>
      </c>
    </row>
    <row r="37" spans="1:29" ht="17.25" customHeight="1">
      <c r="A37" s="60">
        <v>32</v>
      </c>
      <c r="B37" s="57" t="s">
        <v>42</v>
      </c>
      <c r="C37" s="70">
        <v>1911</v>
      </c>
      <c r="D37" s="67">
        <v>1681</v>
      </c>
      <c r="E37" s="54">
        <f t="shared" si="1"/>
        <v>3592</v>
      </c>
      <c r="F37" s="55">
        <v>1797</v>
      </c>
      <c r="G37" s="55">
        <v>1476</v>
      </c>
      <c r="H37" s="55">
        <f t="shared" si="0"/>
        <v>3273</v>
      </c>
      <c r="I37" s="55">
        <v>1880</v>
      </c>
      <c r="J37" s="55">
        <v>1645</v>
      </c>
      <c r="K37" s="55">
        <f t="shared" si="2"/>
        <v>3525</v>
      </c>
      <c r="L37" s="55">
        <v>74</v>
      </c>
      <c r="M37" s="55">
        <v>62</v>
      </c>
      <c r="N37" s="55">
        <f t="shared" si="3"/>
        <v>136</v>
      </c>
      <c r="O37" s="55">
        <v>73</v>
      </c>
      <c r="P37" s="55">
        <v>72</v>
      </c>
      <c r="Q37" s="55">
        <f t="shared" si="4"/>
        <v>145</v>
      </c>
      <c r="R37" s="55">
        <v>61</v>
      </c>
      <c r="S37" s="55">
        <v>64</v>
      </c>
      <c r="T37" s="55">
        <f t="shared" si="5"/>
        <v>125</v>
      </c>
      <c r="U37" s="55">
        <v>218</v>
      </c>
      <c r="V37" s="55">
        <v>203</v>
      </c>
      <c r="W37" s="55">
        <f t="shared" si="6"/>
        <v>421</v>
      </c>
      <c r="X37" s="55">
        <v>194</v>
      </c>
      <c r="Y37" s="55">
        <v>174</v>
      </c>
      <c r="Z37" s="55">
        <f t="shared" si="7"/>
        <v>368</v>
      </c>
      <c r="AA37" s="55">
        <v>218</v>
      </c>
      <c r="AB37" s="55">
        <v>211</v>
      </c>
      <c r="AC37" s="55">
        <f t="shared" si="8"/>
        <v>429</v>
      </c>
    </row>
    <row r="38" spans="1:29" s="49" customFormat="1" ht="17.25" customHeight="1">
      <c r="A38" s="60">
        <v>33</v>
      </c>
      <c r="B38" s="57" t="s">
        <v>43</v>
      </c>
      <c r="C38" s="70">
        <v>188893</v>
      </c>
      <c r="D38" s="67">
        <v>165279</v>
      </c>
      <c r="E38" s="54">
        <f t="shared" si="1"/>
        <v>354172</v>
      </c>
      <c r="F38" s="55">
        <v>158141</v>
      </c>
      <c r="G38" s="55">
        <v>154445</v>
      </c>
      <c r="H38" s="55">
        <f t="shared" si="0"/>
        <v>312586</v>
      </c>
      <c r="I38" s="55">
        <v>158436</v>
      </c>
      <c r="J38" s="55">
        <v>146266</v>
      </c>
      <c r="K38" s="55">
        <f t="shared" si="2"/>
        <v>304702</v>
      </c>
      <c r="L38" s="55">
        <v>21110</v>
      </c>
      <c r="M38" s="55">
        <v>16142</v>
      </c>
      <c r="N38" s="55">
        <f t="shared" si="3"/>
        <v>37252</v>
      </c>
      <c r="O38" s="55">
        <v>21405</v>
      </c>
      <c r="P38" s="55">
        <v>18521</v>
      </c>
      <c r="Q38" s="55">
        <f t="shared" si="4"/>
        <v>39926</v>
      </c>
      <c r="R38" s="55">
        <v>19654</v>
      </c>
      <c r="S38" s="55">
        <v>15905</v>
      </c>
      <c r="T38" s="55">
        <f t="shared" si="5"/>
        <v>35559</v>
      </c>
      <c r="U38" s="55">
        <v>916</v>
      </c>
      <c r="V38" s="55">
        <v>820</v>
      </c>
      <c r="W38" s="55">
        <f t="shared" si="6"/>
        <v>1736</v>
      </c>
      <c r="X38" s="55">
        <v>793</v>
      </c>
      <c r="Y38" s="55">
        <v>532</v>
      </c>
      <c r="Z38" s="55">
        <f t="shared" si="7"/>
        <v>1325</v>
      </c>
      <c r="AA38" s="55">
        <v>754</v>
      </c>
      <c r="AB38" s="55">
        <v>963</v>
      </c>
      <c r="AC38" s="55">
        <f t="shared" si="8"/>
        <v>1717</v>
      </c>
    </row>
    <row r="39" spans="1:29" ht="17.25" customHeight="1">
      <c r="A39" s="60">
        <v>34</v>
      </c>
      <c r="B39" s="57" t="s">
        <v>44</v>
      </c>
      <c r="C39" s="70">
        <v>733</v>
      </c>
      <c r="D39" s="67">
        <v>675</v>
      </c>
      <c r="E39" s="54">
        <f t="shared" si="1"/>
        <v>1408</v>
      </c>
      <c r="F39" s="55">
        <v>701</v>
      </c>
      <c r="G39" s="55">
        <v>677</v>
      </c>
      <c r="H39" s="55">
        <f t="shared" si="0"/>
        <v>1378</v>
      </c>
      <c r="I39" s="55">
        <v>698</v>
      </c>
      <c r="J39" s="55">
        <v>578</v>
      </c>
      <c r="K39" s="55">
        <f t="shared" si="2"/>
        <v>1276</v>
      </c>
      <c r="L39" s="55">
        <v>0</v>
      </c>
      <c r="M39" s="55">
        <v>0</v>
      </c>
      <c r="N39" s="55">
        <f t="shared" si="3"/>
        <v>0</v>
      </c>
      <c r="O39" s="55">
        <v>0</v>
      </c>
      <c r="P39" s="55">
        <v>0</v>
      </c>
      <c r="Q39" s="55">
        <f t="shared" si="4"/>
        <v>0</v>
      </c>
      <c r="R39" s="55">
        <v>1</v>
      </c>
      <c r="S39" s="55">
        <v>0</v>
      </c>
      <c r="T39" s="55">
        <f t="shared" si="5"/>
        <v>1</v>
      </c>
      <c r="U39" s="55">
        <v>733</v>
      </c>
      <c r="V39" s="55">
        <v>675</v>
      </c>
      <c r="W39" s="55">
        <f t="shared" si="6"/>
        <v>1408</v>
      </c>
      <c r="X39" s="55">
        <v>699</v>
      </c>
      <c r="Y39" s="55">
        <v>672</v>
      </c>
      <c r="Z39" s="55">
        <f t="shared" si="7"/>
        <v>1371</v>
      </c>
      <c r="AA39" s="55">
        <v>693</v>
      </c>
      <c r="AB39" s="55">
        <v>577</v>
      </c>
      <c r="AC39" s="55">
        <f t="shared" si="8"/>
        <v>1270</v>
      </c>
    </row>
    <row r="40" spans="1:29" ht="17.25" customHeight="1">
      <c r="A40" s="60">
        <v>35</v>
      </c>
      <c r="B40" s="57" t="s">
        <v>45</v>
      </c>
      <c r="C40" s="70">
        <v>11619</v>
      </c>
      <c r="D40" s="67">
        <v>10648</v>
      </c>
      <c r="E40" s="54">
        <f t="shared" si="1"/>
        <v>22267</v>
      </c>
      <c r="F40" s="55">
        <v>10943</v>
      </c>
      <c r="G40" s="55">
        <v>10361</v>
      </c>
      <c r="H40" s="55">
        <f t="shared" si="0"/>
        <v>21304</v>
      </c>
      <c r="I40" s="55">
        <v>10267</v>
      </c>
      <c r="J40" s="55">
        <v>9799</v>
      </c>
      <c r="K40" s="55">
        <f t="shared" si="2"/>
        <v>20066</v>
      </c>
      <c r="L40" s="55">
        <v>2095</v>
      </c>
      <c r="M40" s="55">
        <v>2002</v>
      </c>
      <c r="N40" s="55">
        <f t="shared" si="3"/>
        <v>4097</v>
      </c>
      <c r="O40" s="55">
        <v>1963</v>
      </c>
      <c r="P40" s="55">
        <v>1907</v>
      </c>
      <c r="Q40" s="55">
        <f t="shared" si="4"/>
        <v>3870</v>
      </c>
      <c r="R40" s="55">
        <v>1804</v>
      </c>
      <c r="S40" s="55">
        <v>1773</v>
      </c>
      <c r="T40" s="55">
        <f t="shared" si="5"/>
        <v>3577</v>
      </c>
      <c r="U40" s="55">
        <v>0</v>
      </c>
      <c r="V40" s="55">
        <v>0</v>
      </c>
      <c r="W40" s="55">
        <f t="shared" si="6"/>
        <v>0</v>
      </c>
      <c r="X40" s="55">
        <v>0</v>
      </c>
      <c r="Y40" s="55">
        <v>0</v>
      </c>
      <c r="Z40" s="55">
        <f t="shared" si="7"/>
        <v>0</v>
      </c>
      <c r="AA40" s="55">
        <v>2</v>
      </c>
      <c r="AB40" s="55">
        <v>3</v>
      </c>
      <c r="AC40" s="55">
        <f t="shared" si="8"/>
        <v>5</v>
      </c>
    </row>
    <row r="41" spans="1:29" s="85" customFormat="1" ht="17.25" customHeight="1">
      <c r="A41" s="326" t="s">
        <v>103</v>
      </c>
      <c r="B41" s="327"/>
      <c r="C41" s="84">
        <f>SUM(C6:C40)</f>
        <v>17169612</v>
      </c>
      <c r="D41" s="84">
        <f t="shared" ref="D41:AC41" si="9">SUM(D6:D40)</f>
        <v>15168884</v>
      </c>
      <c r="E41" s="84">
        <f t="shared" si="9"/>
        <v>32338496</v>
      </c>
      <c r="F41" s="84">
        <f t="shared" si="9"/>
        <v>17766606</v>
      </c>
      <c r="G41" s="84">
        <f t="shared" si="9"/>
        <v>15379711</v>
      </c>
      <c r="H41" s="84">
        <f t="shared" si="9"/>
        <v>33146317</v>
      </c>
      <c r="I41" s="84">
        <f t="shared" si="9"/>
        <v>16995427</v>
      </c>
      <c r="J41" s="84">
        <f t="shared" si="9"/>
        <v>15346980</v>
      </c>
      <c r="K41" s="84">
        <f t="shared" si="9"/>
        <v>32342407</v>
      </c>
      <c r="L41" s="84">
        <f t="shared" si="9"/>
        <v>3403626</v>
      </c>
      <c r="M41" s="147">
        <f t="shared" si="9"/>
        <v>3286236</v>
      </c>
      <c r="N41" s="147">
        <f t="shared" si="9"/>
        <v>6689862</v>
      </c>
      <c r="O41" s="147">
        <f t="shared" si="9"/>
        <v>3464921</v>
      </c>
      <c r="P41" s="147">
        <f t="shared" si="9"/>
        <v>2874882</v>
      </c>
      <c r="Q41" s="147">
        <f t="shared" si="9"/>
        <v>6339803</v>
      </c>
      <c r="R41" s="84">
        <f t="shared" si="9"/>
        <v>3615997</v>
      </c>
      <c r="S41" s="84">
        <f t="shared" si="9"/>
        <v>3251761</v>
      </c>
      <c r="T41" s="84">
        <f t="shared" si="9"/>
        <v>6867758</v>
      </c>
      <c r="U41" s="84">
        <f t="shared" si="9"/>
        <v>2028527</v>
      </c>
      <c r="V41" s="84">
        <f t="shared" si="9"/>
        <v>1881645</v>
      </c>
      <c r="W41" s="84">
        <f t="shared" si="9"/>
        <v>3910172</v>
      </c>
      <c r="X41" s="147">
        <f t="shared" si="9"/>
        <v>1973893</v>
      </c>
      <c r="Y41" s="147">
        <f t="shared" si="9"/>
        <v>1746848</v>
      </c>
      <c r="Z41" s="147">
        <f t="shared" si="9"/>
        <v>3720741</v>
      </c>
      <c r="AA41" s="147">
        <f t="shared" si="9"/>
        <v>1748024</v>
      </c>
      <c r="AB41" s="147">
        <f t="shared" si="9"/>
        <v>1605250</v>
      </c>
      <c r="AC41" s="147">
        <f t="shared" si="9"/>
        <v>3353274</v>
      </c>
    </row>
  </sheetData>
  <mergeCells count="15">
    <mergeCell ref="A2:A4"/>
    <mergeCell ref="B2:B4"/>
    <mergeCell ref="A41:B41"/>
    <mergeCell ref="L2:T2"/>
    <mergeCell ref="U2:AC2"/>
    <mergeCell ref="L3:N3"/>
    <mergeCell ref="O3:Q3"/>
    <mergeCell ref="R3:T3"/>
    <mergeCell ref="U3:W3"/>
    <mergeCell ref="X3:Z3"/>
    <mergeCell ref="AA3:AC3"/>
    <mergeCell ref="C3:E3"/>
    <mergeCell ref="C2:K2"/>
    <mergeCell ref="I3:K3"/>
    <mergeCell ref="F3:H3"/>
  </mergeCells>
  <printOptions horizontalCentered="1"/>
  <pageMargins left="0.32" right="0.17" top="0.27" bottom="0.44" header="0.23" footer="0.24"/>
  <pageSetup paperSize="9" scale="79" firstPageNumber="75" orientation="landscape" useFirstPageNumber="1" horizontalDpi="4294967292" r:id="rId1"/>
  <headerFooter alignWithMargins="0">
    <oddFooter>&amp;LSTATISTICS OF SCHOOL EDUCATION 2011-12&amp;R&amp;P</oddFooter>
  </headerFooter>
  <colBreaks count="2" manualBreakCount="2">
    <brk id="11" max="40" man="1"/>
    <brk id="20" max="40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Q40"/>
  <sheetViews>
    <sheetView showZeros="0" view="pageBreakPreview" topLeftCell="H1" zoomScaleSheetLayoutView="100" workbookViewId="0">
      <selection activeCell="T34" sqref="T34"/>
    </sheetView>
  </sheetViews>
  <sheetFormatPr defaultRowHeight="15.75"/>
  <cols>
    <col min="1" max="1" width="5.140625" style="5" customWidth="1"/>
    <col min="2" max="2" width="19.5703125" style="5" customWidth="1"/>
    <col min="3" max="8" width="12.28515625" style="5" customWidth="1"/>
    <col min="9" max="11" width="11.42578125" style="5" customWidth="1"/>
    <col min="12" max="12" width="11.7109375" style="5" customWidth="1"/>
    <col min="13" max="13" width="12" style="5" customWidth="1"/>
    <col min="14" max="14" width="12.7109375" style="5" customWidth="1"/>
    <col min="15" max="17" width="10.28515625" style="5" customWidth="1"/>
    <col min="18" max="16384" width="9.140625" style="5"/>
  </cols>
  <sheetData>
    <row r="1" spans="1:17" s="4" customFormat="1" ht="24.75" customHeight="1">
      <c r="B1" s="1"/>
      <c r="C1" s="146" t="s">
        <v>150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62" t="s">
        <v>121</v>
      </c>
    </row>
    <row r="2" spans="1:17" s="12" customFormat="1" ht="38.25" customHeight="1">
      <c r="A2" s="283" t="s">
        <v>67</v>
      </c>
      <c r="B2" s="283" t="s">
        <v>65</v>
      </c>
      <c r="C2" s="283" t="s">
        <v>68</v>
      </c>
      <c r="D2" s="283"/>
      <c r="E2" s="283"/>
      <c r="F2" s="283" t="s">
        <v>47</v>
      </c>
      <c r="G2" s="283"/>
      <c r="H2" s="283"/>
      <c r="I2" s="283" t="s">
        <v>69</v>
      </c>
      <c r="J2" s="283"/>
      <c r="K2" s="283"/>
      <c r="L2" s="283" t="s">
        <v>59</v>
      </c>
      <c r="M2" s="283"/>
      <c r="N2" s="283"/>
      <c r="O2" s="283" t="s">
        <v>70</v>
      </c>
      <c r="P2" s="283"/>
      <c r="Q2" s="283"/>
    </row>
    <row r="3" spans="1:17" s="14" customFormat="1" ht="22.5" customHeight="1">
      <c r="A3" s="283"/>
      <c r="B3" s="283"/>
      <c r="C3" s="256" t="s">
        <v>106</v>
      </c>
      <c r="D3" s="256" t="s">
        <v>107</v>
      </c>
      <c r="E3" s="256" t="s">
        <v>15</v>
      </c>
      <c r="F3" s="256" t="s">
        <v>106</v>
      </c>
      <c r="G3" s="256" t="s">
        <v>107</v>
      </c>
      <c r="H3" s="256" t="s">
        <v>15</v>
      </c>
      <c r="I3" s="256" t="s">
        <v>106</v>
      </c>
      <c r="J3" s="256" t="s">
        <v>107</v>
      </c>
      <c r="K3" s="256" t="s">
        <v>15</v>
      </c>
      <c r="L3" s="256" t="s">
        <v>106</v>
      </c>
      <c r="M3" s="256" t="s">
        <v>107</v>
      </c>
      <c r="N3" s="256" t="s">
        <v>15</v>
      </c>
      <c r="O3" s="256" t="s">
        <v>106</v>
      </c>
      <c r="P3" s="256" t="s">
        <v>107</v>
      </c>
      <c r="Q3" s="256" t="s">
        <v>15</v>
      </c>
    </row>
    <row r="4" spans="1:17" s="21" customFormat="1" ht="13.5" customHeight="1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  <c r="O4" s="20">
        <v>15</v>
      </c>
      <c r="P4" s="20">
        <v>16</v>
      </c>
      <c r="Q4" s="20">
        <v>17</v>
      </c>
    </row>
    <row r="5" spans="1:17" ht="19.5" customHeight="1">
      <c r="A5" s="8">
        <v>1</v>
      </c>
      <c r="B5" s="2" t="s">
        <v>16</v>
      </c>
      <c r="C5" s="63">
        <f>898235+895</f>
        <v>899130</v>
      </c>
      <c r="D5" s="63">
        <f>788908+1453</f>
        <v>790361</v>
      </c>
      <c r="E5" s="63">
        <f>C5+D5</f>
        <v>1689491</v>
      </c>
      <c r="F5" s="63">
        <v>2585732</v>
      </c>
      <c r="G5" s="63">
        <v>2493281</v>
      </c>
      <c r="H5" s="63">
        <f>F5+G5</f>
        <v>5079013</v>
      </c>
      <c r="I5" s="63">
        <v>1117233</v>
      </c>
      <c r="J5" s="63">
        <v>1040088</v>
      </c>
      <c r="K5" s="63">
        <f>I5+J5</f>
        <v>2157321</v>
      </c>
      <c r="L5" s="63">
        <f>2680955+159527</f>
        <v>2840482</v>
      </c>
      <c r="M5" s="63">
        <f>2595921+178883</f>
        <v>2774804</v>
      </c>
      <c r="N5" s="63">
        <f>L5+M5</f>
        <v>5615286</v>
      </c>
      <c r="O5" s="63">
        <v>229595</v>
      </c>
      <c r="P5" s="63">
        <v>180491</v>
      </c>
      <c r="Q5" s="63">
        <f>O5+P5</f>
        <v>410086</v>
      </c>
    </row>
    <row r="6" spans="1:17" ht="19.5" customHeight="1">
      <c r="A6" s="8">
        <v>2</v>
      </c>
      <c r="B6" s="2" t="s">
        <v>17</v>
      </c>
      <c r="C6" s="63">
        <v>43731</v>
      </c>
      <c r="D6" s="63">
        <v>38960</v>
      </c>
      <c r="E6" s="63">
        <f t="shared" ref="E6:E39" si="0">C6+D6</f>
        <v>82691</v>
      </c>
      <c r="F6" s="63">
        <v>34332</v>
      </c>
      <c r="G6" s="63">
        <v>31319</v>
      </c>
      <c r="H6" s="63">
        <f t="shared" ref="H6:H39" si="1">F6+G6</f>
        <v>65651</v>
      </c>
      <c r="I6" s="63">
        <v>76025</v>
      </c>
      <c r="J6" s="63">
        <v>72049</v>
      </c>
      <c r="K6" s="63">
        <f t="shared" ref="K6:K39" si="2">I6+J6</f>
        <v>148074</v>
      </c>
      <c r="L6" s="63">
        <v>65968</v>
      </c>
      <c r="M6" s="63">
        <v>61479</v>
      </c>
      <c r="N6" s="63">
        <f t="shared" ref="N6:N39" si="3">L6+M6</f>
        <v>127447</v>
      </c>
      <c r="O6" s="63">
        <v>495</v>
      </c>
      <c r="P6" s="63">
        <v>347</v>
      </c>
      <c r="Q6" s="63">
        <f t="shared" ref="Q6:Q39" si="4">O6+P6</f>
        <v>842</v>
      </c>
    </row>
    <row r="7" spans="1:17" ht="19.5" customHeight="1">
      <c r="A7" s="8">
        <v>3</v>
      </c>
      <c r="B7" s="2" t="s">
        <v>48</v>
      </c>
      <c r="C7" s="63">
        <v>283986</v>
      </c>
      <c r="D7" s="63">
        <v>338127</v>
      </c>
      <c r="E7" s="63">
        <f t="shared" si="0"/>
        <v>622113</v>
      </c>
      <c r="F7" s="63">
        <v>155441</v>
      </c>
      <c r="G7" s="63">
        <v>134972</v>
      </c>
      <c r="H7" s="63">
        <f t="shared" si="1"/>
        <v>290413</v>
      </c>
      <c r="I7" s="63">
        <v>686099</v>
      </c>
      <c r="J7" s="63">
        <v>737156</v>
      </c>
      <c r="K7" s="63">
        <f t="shared" si="2"/>
        <v>1423255</v>
      </c>
      <c r="L7" s="63">
        <v>1218594</v>
      </c>
      <c r="M7" s="63">
        <v>1201181</v>
      </c>
      <c r="N7" s="63">
        <f t="shared" si="3"/>
        <v>2419775</v>
      </c>
      <c r="O7" s="63">
        <v>0</v>
      </c>
      <c r="P7" s="63">
        <v>0</v>
      </c>
      <c r="Q7" s="63">
        <f t="shared" si="4"/>
        <v>0</v>
      </c>
    </row>
    <row r="8" spans="1:17" ht="19.5" customHeight="1">
      <c r="A8" s="8">
        <v>4</v>
      </c>
      <c r="B8" s="3" t="s">
        <v>49</v>
      </c>
      <c r="C8" s="63">
        <f>544803+483923</f>
        <v>1028726</v>
      </c>
      <c r="D8" s="63">
        <f>413981+328393</f>
        <v>742374</v>
      </c>
      <c r="E8" s="63">
        <f t="shared" si="0"/>
        <v>1771100</v>
      </c>
      <c r="F8" s="63">
        <v>989307</v>
      </c>
      <c r="G8" s="63">
        <v>781450</v>
      </c>
      <c r="H8" s="63">
        <f t="shared" si="1"/>
        <v>1770757</v>
      </c>
      <c r="I8" s="63">
        <v>4230999</v>
      </c>
      <c r="J8" s="63">
        <v>3786064</v>
      </c>
      <c r="K8" s="63">
        <f t="shared" si="2"/>
        <v>8017063</v>
      </c>
      <c r="L8" s="63">
        <f>6663258-7306</f>
        <v>6655952</v>
      </c>
      <c r="M8" s="63">
        <f>5950129+6506</f>
        <v>5956635</v>
      </c>
      <c r="N8" s="63">
        <f t="shared" si="3"/>
        <v>12612587</v>
      </c>
      <c r="O8" s="63">
        <v>127</v>
      </c>
      <c r="P8" s="63">
        <v>98</v>
      </c>
      <c r="Q8" s="63">
        <f t="shared" si="4"/>
        <v>225</v>
      </c>
    </row>
    <row r="9" spans="1:17" ht="19.5" customHeight="1">
      <c r="A9" s="8">
        <v>5</v>
      </c>
      <c r="B9" s="3" t="s">
        <v>19</v>
      </c>
      <c r="C9" s="63">
        <v>381312</v>
      </c>
      <c r="D9" s="63">
        <v>330106</v>
      </c>
      <c r="E9" s="63">
        <f t="shared" si="0"/>
        <v>711418</v>
      </c>
      <c r="F9" s="63">
        <v>294081</v>
      </c>
      <c r="G9" s="63">
        <v>278385</v>
      </c>
      <c r="H9" s="63">
        <f t="shared" si="1"/>
        <v>572466</v>
      </c>
      <c r="I9" s="63">
        <v>746352</v>
      </c>
      <c r="J9" s="63">
        <v>697430</v>
      </c>
      <c r="K9" s="63">
        <f t="shared" si="2"/>
        <v>1443782</v>
      </c>
      <c r="L9" s="63">
        <v>1605577</v>
      </c>
      <c r="M9" s="63">
        <v>1504217</v>
      </c>
      <c r="N9" s="63">
        <f t="shared" si="3"/>
        <v>3109794</v>
      </c>
      <c r="O9" s="63">
        <v>52465</v>
      </c>
      <c r="P9" s="63">
        <v>40330</v>
      </c>
      <c r="Q9" s="63">
        <f t="shared" si="4"/>
        <v>92795</v>
      </c>
    </row>
    <row r="10" spans="1:17" ht="19.5" customHeight="1">
      <c r="A10" s="8">
        <v>6</v>
      </c>
      <c r="B10" s="2" t="s">
        <v>20</v>
      </c>
      <c r="C10" s="63">
        <v>15025</v>
      </c>
      <c r="D10" s="63">
        <v>14737</v>
      </c>
      <c r="E10" s="63">
        <f t="shared" si="0"/>
        <v>29762</v>
      </c>
      <c r="F10" s="63">
        <v>33350</v>
      </c>
      <c r="G10" s="63">
        <v>29705</v>
      </c>
      <c r="H10" s="63">
        <f t="shared" si="1"/>
        <v>63055</v>
      </c>
      <c r="I10" s="63">
        <v>40180</v>
      </c>
      <c r="J10" s="63">
        <v>35683</v>
      </c>
      <c r="K10" s="63">
        <f t="shared" si="2"/>
        <v>75863</v>
      </c>
      <c r="L10" s="63">
        <v>52416</v>
      </c>
      <c r="M10" s="63">
        <v>47790</v>
      </c>
      <c r="N10" s="63">
        <f t="shared" si="3"/>
        <v>100206</v>
      </c>
      <c r="O10" s="63"/>
      <c r="P10" s="63"/>
      <c r="Q10" s="63">
        <f t="shared" si="4"/>
        <v>0</v>
      </c>
    </row>
    <row r="11" spans="1:17" ht="19.5" customHeight="1">
      <c r="A11" s="8">
        <v>7</v>
      </c>
      <c r="B11" s="2" t="s">
        <v>21</v>
      </c>
      <c r="C11" s="63">
        <v>786344</v>
      </c>
      <c r="D11" s="63">
        <v>546490</v>
      </c>
      <c r="E11" s="63">
        <f t="shared" si="0"/>
        <v>1332834</v>
      </c>
      <c r="F11" s="63">
        <v>966229</v>
      </c>
      <c r="G11" s="63">
        <v>698768</v>
      </c>
      <c r="H11" s="63">
        <f t="shared" si="1"/>
        <v>1664997</v>
      </c>
      <c r="I11" s="63">
        <v>4664424</v>
      </c>
      <c r="J11" s="63">
        <v>4048344</v>
      </c>
      <c r="K11" s="63">
        <f t="shared" si="2"/>
        <v>8712768</v>
      </c>
      <c r="L11" s="63"/>
      <c r="M11" s="63"/>
      <c r="N11" s="63"/>
      <c r="O11" s="63"/>
      <c r="P11" s="63"/>
      <c r="Q11" s="63">
        <f t="shared" si="4"/>
        <v>0</v>
      </c>
    </row>
    <row r="12" spans="1:17" ht="19.5" customHeight="1">
      <c r="A12" s="8">
        <v>8</v>
      </c>
      <c r="B12" s="2" t="s">
        <v>22</v>
      </c>
      <c r="C12" s="63">
        <v>967302</v>
      </c>
      <c r="D12" s="63">
        <v>794808</v>
      </c>
      <c r="E12" s="63">
        <f t="shared" si="0"/>
        <v>1762110</v>
      </c>
      <c r="F12" s="63">
        <v>571227</v>
      </c>
      <c r="G12" s="63">
        <v>477477</v>
      </c>
      <c r="H12" s="63">
        <f t="shared" si="1"/>
        <v>1048704</v>
      </c>
      <c r="I12" s="63">
        <v>441956</v>
      </c>
      <c r="J12" s="63">
        <v>415730</v>
      </c>
      <c r="K12" s="63">
        <f t="shared" si="2"/>
        <v>857686</v>
      </c>
      <c r="L12" s="63">
        <v>728097</v>
      </c>
      <c r="M12" s="63">
        <v>693840</v>
      </c>
      <c r="N12" s="63">
        <f t="shared" ref="N12" si="5">L12+M12</f>
        <v>1421937</v>
      </c>
      <c r="O12" s="63">
        <v>1131</v>
      </c>
      <c r="P12" s="63">
        <v>942</v>
      </c>
      <c r="Q12" s="63">
        <f t="shared" si="4"/>
        <v>2073</v>
      </c>
    </row>
    <row r="13" spans="1:17" ht="19.5" customHeight="1">
      <c r="A13" s="8">
        <v>9</v>
      </c>
      <c r="B13" s="2" t="s">
        <v>50</v>
      </c>
      <c r="C13" s="63">
        <v>380935</v>
      </c>
      <c r="D13" s="63">
        <v>325976</v>
      </c>
      <c r="E13" s="63">
        <f t="shared" si="0"/>
        <v>706911</v>
      </c>
      <c r="F13" s="63">
        <v>146256</v>
      </c>
      <c r="G13" s="63">
        <v>128536</v>
      </c>
      <c r="H13" s="63">
        <f t="shared" si="1"/>
        <v>274792</v>
      </c>
      <c r="I13" s="63">
        <v>88098</v>
      </c>
      <c r="J13" s="63">
        <v>75499</v>
      </c>
      <c r="K13" s="63">
        <f t="shared" si="2"/>
        <v>163597</v>
      </c>
      <c r="L13" s="63">
        <v>214171</v>
      </c>
      <c r="M13" s="63">
        <v>212918</v>
      </c>
      <c r="N13" s="63">
        <f t="shared" si="3"/>
        <v>427089</v>
      </c>
      <c r="O13" s="63">
        <v>262</v>
      </c>
      <c r="P13" s="63">
        <v>271</v>
      </c>
      <c r="Q13" s="63">
        <f t="shared" si="4"/>
        <v>533</v>
      </c>
    </row>
    <row r="14" spans="1:17" s="24" customFormat="1" ht="19.5" customHeight="1">
      <c r="A14" s="25">
        <v>10</v>
      </c>
      <c r="B14" s="2" t="s">
        <v>51</v>
      </c>
      <c r="C14" s="63">
        <v>135899</v>
      </c>
      <c r="D14" s="63">
        <v>116072</v>
      </c>
      <c r="E14" s="63">
        <f t="shared" si="0"/>
        <v>251971</v>
      </c>
      <c r="F14" s="63">
        <v>185361</v>
      </c>
      <c r="G14" s="63">
        <v>163075</v>
      </c>
      <c r="H14" s="63">
        <f t="shared" si="1"/>
        <v>348436</v>
      </c>
      <c r="I14" s="63">
        <v>366711</v>
      </c>
      <c r="J14" s="63">
        <v>321471</v>
      </c>
      <c r="K14" s="63">
        <f t="shared" si="2"/>
        <v>688182</v>
      </c>
      <c r="L14" s="63">
        <v>669327</v>
      </c>
      <c r="M14" s="63">
        <f>620972-50</f>
        <v>620922</v>
      </c>
      <c r="N14" s="63">
        <f t="shared" si="3"/>
        <v>1290249</v>
      </c>
      <c r="O14" s="63">
        <v>34941</v>
      </c>
      <c r="P14" s="63">
        <v>28704</v>
      </c>
      <c r="Q14" s="63">
        <f t="shared" si="4"/>
        <v>63645</v>
      </c>
    </row>
    <row r="15" spans="1:17" s="24" customFormat="1" ht="19.5" customHeight="1">
      <c r="A15" s="25">
        <v>11</v>
      </c>
      <c r="B15" s="2" t="s">
        <v>52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1:17" ht="19.5" customHeight="1">
      <c r="A16" s="8">
        <v>12</v>
      </c>
      <c r="B16" s="2" t="s">
        <v>25</v>
      </c>
      <c r="C16" s="63">
        <v>496916</v>
      </c>
      <c r="D16" s="63">
        <v>490729</v>
      </c>
      <c r="E16" s="63">
        <f t="shared" ref="E16" si="6">C16+D16</f>
        <v>987645</v>
      </c>
      <c r="F16" s="63">
        <f>1350548+161344</f>
        <v>1511892</v>
      </c>
      <c r="G16" s="63">
        <f>1253698+124555</f>
        <v>1378253</v>
      </c>
      <c r="H16" s="63">
        <f t="shared" ref="H16" si="7">F16+G16</f>
        <v>2890145</v>
      </c>
      <c r="I16" s="63">
        <v>3307286</v>
      </c>
      <c r="J16" s="63">
        <v>3076351</v>
      </c>
      <c r="K16" s="63">
        <f t="shared" ref="K16" si="8">I16+J16</f>
        <v>6383637</v>
      </c>
      <c r="L16" s="63">
        <v>531980</v>
      </c>
      <c r="M16" s="63">
        <v>509506</v>
      </c>
      <c r="N16" s="63">
        <f t="shared" ref="N16" si="9">L16+M16</f>
        <v>1041486</v>
      </c>
      <c r="O16" s="63"/>
      <c r="P16" s="63"/>
      <c r="Q16" s="63">
        <f t="shared" ref="Q16" si="10">O16+P16</f>
        <v>0</v>
      </c>
    </row>
    <row r="17" spans="1:17" ht="19.5" customHeight="1">
      <c r="A17" s="8">
        <v>13</v>
      </c>
      <c r="B17" s="2" t="s">
        <v>53</v>
      </c>
      <c r="C17" s="63">
        <v>1505683</v>
      </c>
      <c r="D17" s="63">
        <v>1461639</v>
      </c>
      <c r="E17" s="63">
        <f t="shared" si="0"/>
        <v>2967322</v>
      </c>
      <c r="F17" s="63">
        <v>457700</v>
      </c>
      <c r="G17" s="63">
        <v>468019</v>
      </c>
      <c r="H17" s="63">
        <f t="shared" si="1"/>
        <v>925719</v>
      </c>
      <c r="I17" s="63">
        <v>555551</v>
      </c>
      <c r="J17" s="63">
        <v>518734</v>
      </c>
      <c r="K17" s="63">
        <f t="shared" si="2"/>
        <v>1074285</v>
      </c>
      <c r="L17" s="63">
        <v>425511</v>
      </c>
      <c r="M17" s="63">
        <v>424995</v>
      </c>
      <c r="N17" s="63">
        <f t="shared" si="3"/>
        <v>850506</v>
      </c>
      <c r="O17" s="63">
        <v>0</v>
      </c>
      <c r="P17" s="63"/>
      <c r="Q17" s="63">
        <f t="shared" si="4"/>
        <v>0</v>
      </c>
    </row>
    <row r="18" spans="1:17" ht="19.5" customHeight="1">
      <c r="A18" s="8">
        <v>14</v>
      </c>
      <c r="B18" s="2" t="s">
        <v>27</v>
      </c>
      <c r="C18" s="63">
        <v>926954</v>
      </c>
      <c r="D18" s="63">
        <v>615245</v>
      </c>
      <c r="E18" s="63">
        <f t="shared" si="0"/>
        <v>1542199</v>
      </c>
      <c r="F18" s="63">
        <v>1356119</v>
      </c>
      <c r="G18" s="63">
        <v>842443</v>
      </c>
      <c r="H18" s="63">
        <f t="shared" si="1"/>
        <v>2198562</v>
      </c>
      <c r="I18" s="63">
        <v>1497339</v>
      </c>
      <c r="J18" s="63">
        <v>1716593</v>
      </c>
      <c r="K18" s="63">
        <f t="shared" si="2"/>
        <v>3213932</v>
      </c>
      <c r="L18" s="63">
        <v>3552909</v>
      </c>
      <c r="M18" s="63">
        <v>3799897</v>
      </c>
      <c r="N18" s="63">
        <f t="shared" si="3"/>
        <v>7352806</v>
      </c>
      <c r="O18" s="63"/>
      <c r="P18" s="63"/>
      <c r="Q18" s="63">
        <f t="shared" si="4"/>
        <v>0</v>
      </c>
    </row>
    <row r="19" spans="1:17" ht="19.5" customHeight="1">
      <c r="A19" s="8">
        <v>15</v>
      </c>
      <c r="B19" s="2" t="s">
        <v>28</v>
      </c>
      <c r="C19" s="63">
        <v>2930392</v>
      </c>
      <c r="D19" s="63">
        <v>2348128</v>
      </c>
      <c r="E19" s="63">
        <f t="shared" si="0"/>
        <v>5278520</v>
      </c>
      <c r="F19" s="63">
        <v>2898386</v>
      </c>
      <c r="G19" s="63">
        <v>2527754</v>
      </c>
      <c r="H19" s="63">
        <f t="shared" si="1"/>
        <v>5426140</v>
      </c>
      <c r="I19" s="63">
        <v>3528355</v>
      </c>
      <c r="J19" s="63">
        <v>3118486</v>
      </c>
      <c r="K19" s="63">
        <f t="shared" si="2"/>
        <v>6646841</v>
      </c>
      <c r="L19" s="63">
        <v>2211486</v>
      </c>
      <c r="M19" s="63">
        <v>2071375</v>
      </c>
      <c r="N19" s="63">
        <f t="shared" si="3"/>
        <v>4282861</v>
      </c>
      <c r="O19" s="63"/>
      <c r="P19" s="63"/>
      <c r="Q19" s="63">
        <f t="shared" si="4"/>
        <v>0</v>
      </c>
    </row>
    <row r="20" spans="1:17" ht="19.5" customHeight="1">
      <c r="A20" s="8">
        <v>16</v>
      </c>
      <c r="B20" s="2" t="s">
        <v>29</v>
      </c>
      <c r="C20" s="63">
        <f>42691+536</f>
        <v>43227</v>
      </c>
      <c r="D20" s="63">
        <f>37571+1605</f>
        <v>39176</v>
      </c>
      <c r="E20" s="63">
        <f t="shared" si="0"/>
        <v>82403</v>
      </c>
      <c r="F20" s="63">
        <f>131032-10861</f>
        <v>120171</v>
      </c>
      <c r="G20" s="63">
        <f>115813-7771</f>
        <v>108042</v>
      </c>
      <c r="H20" s="63">
        <f t="shared" si="1"/>
        <v>228213</v>
      </c>
      <c r="I20" s="63">
        <f>95800-8539</f>
        <v>87261</v>
      </c>
      <c r="J20" s="63">
        <f>85781-753</f>
        <v>85028</v>
      </c>
      <c r="K20" s="63">
        <f t="shared" si="2"/>
        <v>172289</v>
      </c>
      <c r="L20" s="63">
        <f>120852-11713</f>
        <v>109139</v>
      </c>
      <c r="M20" s="63">
        <f>118112-2153</f>
        <v>115959</v>
      </c>
      <c r="N20" s="63">
        <f t="shared" si="3"/>
        <v>225098</v>
      </c>
      <c r="O20" s="63">
        <v>45</v>
      </c>
      <c r="P20" s="63">
        <v>33</v>
      </c>
      <c r="Q20" s="63">
        <f t="shared" si="4"/>
        <v>78</v>
      </c>
    </row>
    <row r="21" spans="1:17" ht="19.5" customHeight="1">
      <c r="A21" s="8">
        <v>17</v>
      </c>
      <c r="B21" s="2" t="s">
        <v>30</v>
      </c>
      <c r="C21" s="63">
        <v>20724</v>
      </c>
      <c r="D21" s="63">
        <v>24807</v>
      </c>
      <c r="E21" s="63">
        <f t="shared" si="0"/>
        <v>45531</v>
      </c>
      <c r="F21" s="63">
        <v>25002</v>
      </c>
      <c r="G21" s="63">
        <v>28684</v>
      </c>
      <c r="H21" s="63">
        <f t="shared" si="1"/>
        <v>53686</v>
      </c>
      <c r="I21" s="63">
        <v>88532</v>
      </c>
      <c r="J21" s="63">
        <v>99681</v>
      </c>
      <c r="K21" s="63">
        <f t="shared" si="2"/>
        <v>188213</v>
      </c>
      <c r="L21" s="63">
        <v>384422</v>
      </c>
      <c r="M21" s="63">
        <v>384123</v>
      </c>
      <c r="N21" s="63">
        <f t="shared" si="3"/>
        <v>768545</v>
      </c>
      <c r="O21" s="63">
        <v>0</v>
      </c>
      <c r="P21" s="63">
        <v>0</v>
      </c>
      <c r="Q21" s="63">
        <f t="shared" si="4"/>
        <v>0</v>
      </c>
    </row>
    <row r="22" spans="1:17" ht="19.5" customHeight="1">
      <c r="A22" s="8">
        <v>18</v>
      </c>
      <c r="B22" s="2" t="s">
        <v>31</v>
      </c>
      <c r="C22" s="63">
        <v>10194</v>
      </c>
      <c r="D22" s="63">
        <v>10056</v>
      </c>
      <c r="E22" s="63">
        <f t="shared" si="0"/>
        <v>20250</v>
      </c>
      <c r="F22" s="63">
        <v>17963</v>
      </c>
      <c r="G22" s="63">
        <v>18205</v>
      </c>
      <c r="H22" s="63">
        <f t="shared" si="1"/>
        <v>36168</v>
      </c>
      <c r="I22" s="63">
        <v>45761</v>
      </c>
      <c r="J22" s="63">
        <v>41965</v>
      </c>
      <c r="K22" s="63">
        <f t="shared" si="2"/>
        <v>87726</v>
      </c>
      <c r="L22" s="63">
        <v>63581</v>
      </c>
      <c r="M22" s="63">
        <v>57587</v>
      </c>
      <c r="N22" s="63">
        <f t="shared" si="3"/>
        <v>121168</v>
      </c>
      <c r="O22" s="63">
        <v>20884</v>
      </c>
      <c r="P22" s="63">
        <v>19462</v>
      </c>
      <c r="Q22" s="63">
        <f t="shared" si="4"/>
        <v>40346</v>
      </c>
    </row>
    <row r="23" spans="1:17" s="24" customFormat="1" ht="19.5" customHeight="1">
      <c r="A23" s="25">
        <v>19</v>
      </c>
      <c r="B23" s="2" t="s">
        <v>54</v>
      </c>
      <c r="C23" s="63">
        <v>39473</v>
      </c>
      <c r="D23" s="63">
        <v>35542</v>
      </c>
      <c r="E23" s="63">
        <f t="shared" si="0"/>
        <v>75015</v>
      </c>
      <c r="F23" s="63">
        <f>84139+9024</f>
        <v>93163</v>
      </c>
      <c r="G23" s="63">
        <f>76213+9455</f>
        <v>85668</v>
      </c>
      <c r="H23" s="63">
        <f t="shared" si="1"/>
        <v>178831</v>
      </c>
      <c r="I23" s="63">
        <v>45292</v>
      </c>
      <c r="J23" s="63">
        <v>43460</v>
      </c>
      <c r="K23" s="63">
        <f t="shared" si="2"/>
        <v>88752</v>
      </c>
      <c r="L23" s="63">
        <v>80708</v>
      </c>
      <c r="M23" s="63">
        <v>74905</v>
      </c>
      <c r="N23" s="63">
        <f t="shared" si="3"/>
        <v>155613</v>
      </c>
      <c r="O23" s="63">
        <v>0</v>
      </c>
      <c r="P23" s="63">
        <v>0</v>
      </c>
      <c r="Q23" s="63">
        <f t="shared" si="4"/>
        <v>0</v>
      </c>
    </row>
    <row r="24" spans="1:17" ht="19.5" customHeight="1">
      <c r="A24" s="8">
        <v>20</v>
      </c>
      <c r="B24" s="2" t="s">
        <v>55</v>
      </c>
      <c r="C24" s="63">
        <v>252996</v>
      </c>
      <c r="D24" s="63">
        <v>168669</v>
      </c>
      <c r="E24" s="63">
        <f t="shared" si="0"/>
        <v>421665</v>
      </c>
      <c r="F24" s="63">
        <v>808401</v>
      </c>
      <c r="G24" s="63">
        <v>731480</v>
      </c>
      <c r="H24" s="63">
        <f t="shared" si="1"/>
        <v>1539881</v>
      </c>
      <c r="I24" s="63">
        <f>1068297-364831</f>
        <v>703466</v>
      </c>
      <c r="J24" s="63">
        <f>1018744-327198</f>
        <v>691546</v>
      </c>
      <c r="K24" s="63">
        <f t="shared" si="2"/>
        <v>1395012</v>
      </c>
      <c r="L24" s="63">
        <v>2285198</v>
      </c>
      <c r="M24" s="63">
        <v>2147441</v>
      </c>
      <c r="N24" s="63">
        <f t="shared" si="3"/>
        <v>4432639</v>
      </c>
      <c r="O24" s="63"/>
      <c r="P24" s="63"/>
      <c r="Q24" s="63">
        <f t="shared" si="4"/>
        <v>0</v>
      </c>
    </row>
    <row r="25" spans="1:17" ht="19.5" customHeight="1">
      <c r="A25" s="8">
        <v>21</v>
      </c>
      <c r="B25" s="2" t="s">
        <v>56</v>
      </c>
      <c r="C25" s="63">
        <v>1230211</v>
      </c>
      <c r="D25" s="63">
        <v>959216</v>
      </c>
      <c r="E25" s="63">
        <f t="shared" si="0"/>
        <v>2189427</v>
      </c>
      <c r="F25" s="63">
        <v>732792</v>
      </c>
      <c r="G25" s="63">
        <v>561910</v>
      </c>
      <c r="H25" s="63">
        <f t="shared" si="1"/>
        <v>1294702</v>
      </c>
      <c r="I25" s="63">
        <v>306249</v>
      </c>
      <c r="J25" s="63">
        <v>241856</v>
      </c>
      <c r="K25" s="63">
        <f t="shared" si="2"/>
        <v>548105</v>
      </c>
      <c r="L25" s="63">
        <f>718435-158</f>
        <v>718277</v>
      </c>
      <c r="M25" s="63">
        <f>637630+158</f>
        <v>637788</v>
      </c>
      <c r="N25" s="63">
        <f t="shared" si="3"/>
        <v>1356065</v>
      </c>
      <c r="O25" s="63"/>
      <c r="P25" s="63"/>
      <c r="Q25" s="63">
        <f t="shared" si="4"/>
        <v>0</v>
      </c>
    </row>
    <row r="26" spans="1:17" ht="19.5" customHeight="1">
      <c r="A26" s="8">
        <v>22</v>
      </c>
      <c r="B26" s="2" t="s">
        <v>32</v>
      </c>
      <c r="C26" s="63">
        <v>1989178</v>
      </c>
      <c r="D26" s="63">
        <v>1234827</v>
      </c>
      <c r="E26" s="63">
        <f t="shared" si="0"/>
        <v>3224005</v>
      </c>
      <c r="F26" s="63">
        <v>1364254</v>
      </c>
      <c r="G26" s="63">
        <v>959936</v>
      </c>
      <c r="H26" s="63">
        <f t="shared" si="1"/>
        <v>2324190</v>
      </c>
      <c r="I26" s="63">
        <f>3072079+40000</f>
        <v>3112079</v>
      </c>
      <c r="J26" s="63">
        <f>2660970+120000</f>
        <v>2780970</v>
      </c>
      <c r="K26" s="63">
        <f t="shared" si="2"/>
        <v>5893049</v>
      </c>
      <c r="L26" s="63">
        <f>2617213+41519</f>
        <v>2658732</v>
      </c>
      <c r="M26" s="63">
        <f>2236023+129177</f>
        <v>2365200</v>
      </c>
      <c r="N26" s="63">
        <f t="shared" si="3"/>
        <v>5023932</v>
      </c>
      <c r="O26" s="63">
        <v>486</v>
      </c>
      <c r="P26" s="63">
        <v>418</v>
      </c>
      <c r="Q26" s="63">
        <f t="shared" si="4"/>
        <v>904</v>
      </c>
    </row>
    <row r="27" spans="1:17" ht="19.5" customHeight="1">
      <c r="A27" s="8">
        <v>23</v>
      </c>
      <c r="B27" s="2" t="s">
        <v>33</v>
      </c>
      <c r="C27" s="63">
        <v>19532</v>
      </c>
      <c r="D27" s="63">
        <v>22670</v>
      </c>
      <c r="E27" s="63">
        <f t="shared" si="0"/>
        <v>42202</v>
      </c>
      <c r="F27" s="63">
        <v>18868</v>
      </c>
      <c r="G27" s="63">
        <v>20215</v>
      </c>
      <c r="H27" s="63">
        <f t="shared" si="1"/>
        <v>39083</v>
      </c>
      <c r="I27" s="63">
        <v>19321</v>
      </c>
      <c r="J27" s="63">
        <v>19406</v>
      </c>
      <c r="K27" s="63">
        <f t="shared" si="2"/>
        <v>38727</v>
      </c>
      <c r="L27" s="63">
        <v>12846</v>
      </c>
      <c r="M27" s="63">
        <v>12114</v>
      </c>
      <c r="N27" s="63">
        <f t="shared" si="3"/>
        <v>24960</v>
      </c>
      <c r="O27" s="63">
        <v>0</v>
      </c>
      <c r="P27" s="63">
        <v>0</v>
      </c>
      <c r="Q27" s="63">
        <f t="shared" si="4"/>
        <v>0</v>
      </c>
    </row>
    <row r="28" spans="1:17" ht="19.5" customHeight="1">
      <c r="A28" s="8">
        <v>24</v>
      </c>
      <c r="B28" s="2" t="s">
        <v>34</v>
      </c>
      <c r="C28" s="63">
        <v>1963760</v>
      </c>
      <c r="D28" s="63">
        <v>2018789</v>
      </c>
      <c r="E28" s="63">
        <f t="shared" si="0"/>
        <v>3982549</v>
      </c>
      <c r="F28" s="63">
        <v>541863</v>
      </c>
      <c r="G28" s="63">
        <v>552262</v>
      </c>
      <c r="H28" s="63">
        <f t="shared" si="1"/>
        <v>1094125</v>
      </c>
      <c r="I28" s="63">
        <v>702363</v>
      </c>
      <c r="J28" s="63">
        <v>714322</v>
      </c>
      <c r="K28" s="63">
        <f t="shared" si="2"/>
        <v>1416685</v>
      </c>
      <c r="L28" s="63">
        <v>1237840</v>
      </c>
      <c r="M28" s="63">
        <v>1252370</v>
      </c>
      <c r="N28" s="63">
        <f t="shared" si="3"/>
        <v>2490210</v>
      </c>
      <c r="O28" s="63">
        <v>159619</v>
      </c>
      <c r="P28" s="63">
        <v>135169</v>
      </c>
      <c r="Q28" s="63">
        <f t="shared" si="4"/>
        <v>294788</v>
      </c>
    </row>
    <row r="29" spans="1:17" ht="19.5" customHeight="1">
      <c r="A29" s="8">
        <v>25</v>
      </c>
      <c r="B29" s="2" t="s">
        <v>35</v>
      </c>
      <c r="C29" s="63">
        <v>149074</v>
      </c>
      <c r="D29" s="63">
        <v>139026</v>
      </c>
      <c r="E29" s="63">
        <f t="shared" si="0"/>
        <v>288100</v>
      </c>
      <c r="F29" s="63">
        <v>106343</v>
      </c>
      <c r="G29" s="63">
        <v>101260</v>
      </c>
      <c r="H29" s="63">
        <f t="shared" si="1"/>
        <v>207603</v>
      </c>
      <c r="I29" s="63">
        <v>87421</v>
      </c>
      <c r="J29" s="63">
        <v>84273</v>
      </c>
      <c r="K29" s="63">
        <f t="shared" si="2"/>
        <v>171694</v>
      </c>
      <c r="L29" s="63">
        <v>66652</v>
      </c>
      <c r="M29" s="63">
        <v>62567</v>
      </c>
      <c r="N29" s="63">
        <f t="shared" si="3"/>
        <v>129219</v>
      </c>
      <c r="O29" s="63">
        <v>0</v>
      </c>
      <c r="P29" s="63"/>
      <c r="Q29" s="63">
        <f t="shared" si="4"/>
        <v>0</v>
      </c>
    </row>
    <row r="30" spans="1:17" ht="19.5" customHeight="1">
      <c r="A30" s="8">
        <v>26</v>
      </c>
      <c r="B30" s="2" t="s">
        <v>36</v>
      </c>
      <c r="C30" s="63">
        <v>4824753</v>
      </c>
      <c r="D30" s="63">
        <v>3688003</v>
      </c>
      <c r="E30" s="63">
        <f t="shared" si="0"/>
        <v>8512756</v>
      </c>
      <c r="F30" s="63">
        <v>2534789</v>
      </c>
      <c r="G30" s="63">
        <v>1737120</v>
      </c>
      <c r="H30" s="63">
        <f t="shared" si="1"/>
        <v>4271909</v>
      </c>
      <c r="I30" s="63">
        <v>6328276</v>
      </c>
      <c r="J30" s="63">
        <v>5189078</v>
      </c>
      <c r="K30" s="63">
        <f t="shared" si="2"/>
        <v>11517354</v>
      </c>
      <c r="L30" s="63">
        <v>13441096</v>
      </c>
      <c r="M30" s="63">
        <v>12758227</v>
      </c>
      <c r="N30" s="63">
        <f t="shared" si="3"/>
        <v>26199323</v>
      </c>
      <c r="O30" s="63"/>
      <c r="P30" s="63"/>
      <c r="Q30" s="63">
        <f t="shared" si="4"/>
        <v>0</v>
      </c>
    </row>
    <row r="31" spans="1:17" ht="19.5" customHeight="1">
      <c r="A31" s="8">
        <v>27</v>
      </c>
      <c r="B31" s="2" t="s">
        <v>37</v>
      </c>
      <c r="C31" s="63">
        <v>141983</v>
      </c>
      <c r="D31" s="63">
        <v>130376</v>
      </c>
      <c r="E31" s="63">
        <f t="shared" si="0"/>
        <v>272359</v>
      </c>
      <c r="F31" s="63">
        <v>197628</v>
      </c>
      <c r="G31" s="63">
        <v>175793</v>
      </c>
      <c r="H31" s="63">
        <f t="shared" si="1"/>
        <v>373421</v>
      </c>
      <c r="I31" s="63">
        <v>282965</v>
      </c>
      <c r="J31" s="63">
        <v>268194</v>
      </c>
      <c r="K31" s="63">
        <f t="shared" si="2"/>
        <v>551159</v>
      </c>
      <c r="L31" s="63">
        <v>540624</v>
      </c>
      <c r="M31" s="63">
        <v>490536</v>
      </c>
      <c r="N31" s="63">
        <f t="shared" si="3"/>
        <v>1031160</v>
      </c>
      <c r="O31" s="63">
        <v>0</v>
      </c>
      <c r="P31" s="63">
        <v>0</v>
      </c>
      <c r="Q31" s="63">
        <f t="shared" si="4"/>
        <v>0</v>
      </c>
    </row>
    <row r="32" spans="1:17" ht="19.5" customHeight="1">
      <c r="A32" s="8">
        <v>28</v>
      </c>
      <c r="B32" s="2" t="s">
        <v>57</v>
      </c>
      <c r="C32" s="63">
        <v>781494</v>
      </c>
      <c r="D32" s="63">
        <v>681880</v>
      </c>
      <c r="E32" s="63">
        <f t="shared" si="0"/>
        <v>1463374</v>
      </c>
      <c r="F32" s="63">
        <v>1122384</v>
      </c>
      <c r="G32" s="63">
        <v>1223896</v>
      </c>
      <c r="H32" s="63">
        <f t="shared" si="1"/>
        <v>2346280</v>
      </c>
      <c r="I32" s="63">
        <v>3145684</v>
      </c>
      <c r="J32" s="63">
        <v>3344750</v>
      </c>
      <c r="K32" s="63">
        <f t="shared" si="2"/>
        <v>6490434</v>
      </c>
      <c r="L32" s="63">
        <v>4057284</v>
      </c>
      <c r="M32" s="63">
        <v>3948808</v>
      </c>
      <c r="N32" s="63">
        <f t="shared" si="3"/>
        <v>8006092</v>
      </c>
      <c r="O32" s="63">
        <v>0</v>
      </c>
      <c r="P32" s="63">
        <v>0</v>
      </c>
      <c r="Q32" s="63">
        <f t="shared" si="4"/>
        <v>0</v>
      </c>
    </row>
    <row r="33" spans="1:17" ht="19.5" customHeight="1">
      <c r="A33" s="8">
        <v>29</v>
      </c>
      <c r="B33" s="2" t="s">
        <v>39</v>
      </c>
      <c r="C33" s="63">
        <v>22754</v>
      </c>
      <c r="D33" s="63">
        <v>21390</v>
      </c>
      <c r="E33" s="63">
        <f t="shared" si="0"/>
        <v>44144</v>
      </c>
      <c r="F33" s="63">
        <v>6706</v>
      </c>
      <c r="G33" s="63">
        <v>6319</v>
      </c>
      <c r="H33" s="63">
        <f t="shared" si="1"/>
        <v>13025</v>
      </c>
      <c r="I33" s="63">
        <v>6104</v>
      </c>
      <c r="J33" s="63">
        <v>5625</v>
      </c>
      <c r="K33" s="63">
        <f t="shared" si="2"/>
        <v>11729</v>
      </c>
      <c r="L33" s="63">
        <v>7493</v>
      </c>
      <c r="M33" s="63">
        <v>7007</v>
      </c>
      <c r="N33" s="63">
        <f t="shared" si="3"/>
        <v>14500</v>
      </c>
      <c r="O33" s="63">
        <v>1400</v>
      </c>
      <c r="P33" s="63">
        <v>1333</v>
      </c>
      <c r="Q33" s="63">
        <f t="shared" si="4"/>
        <v>2733</v>
      </c>
    </row>
    <row r="34" spans="1:17" ht="19.5" customHeight="1">
      <c r="A34" s="8">
        <v>30</v>
      </c>
      <c r="B34" s="2" t="s">
        <v>40</v>
      </c>
      <c r="C34" s="63">
        <f>110380+9828</f>
        <v>120208</v>
      </c>
      <c r="D34" s="63">
        <f>89189+8471</f>
        <v>97660</v>
      </c>
      <c r="E34" s="63">
        <f t="shared" si="0"/>
        <v>217868</v>
      </c>
      <c r="F34" s="63"/>
      <c r="G34" s="63"/>
      <c r="H34" s="63">
        <f t="shared" si="1"/>
        <v>0</v>
      </c>
      <c r="I34" s="63">
        <v>10501</v>
      </c>
      <c r="J34" s="63">
        <v>9424</v>
      </c>
      <c r="K34" s="63">
        <f t="shared" si="2"/>
        <v>19925</v>
      </c>
      <c r="L34" s="63">
        <v>2460</v>
      </c>
      <c r="M34" s="63">
        <v>2238</v>
      </c>
      <c r="N34" s="63">
        <f t="shared" si="3"/>
        <v>4698</v>
      </c>
      <c r="O34" s="63">
        <v>0</v>
      </c>
      <c r="P34" s="63"/>
      <c r="Q34" s="63">
        <f t="shared" si="4"/>
        <v>0</v>
      </c>
    </row>
    <row r="35" spans="1:17" ht="19.5" customHeight="1">
      <c r="A35" s="8">
        <v>31</v>
      </c>
      <c r="B35" s="2" t="s">
        <v>41</v>
      </c>
      <c r="C35" s="63">
        <v>3253</v>
      </c>
      <c r="D35" s="63">
        <v>2242</v>
      </c>
      <c r="E35" s="63">
        <f t="shared" si="0"/>
        <v>5495</v>
      </c>
      <c r="F35" s="63">
        <v>5733</v>
      </c>
      <c r="G35" s="63">
        <v>4301</v>
      </c>
      <c r="H35" s="63">
        <f t="shared" si="1"/>
        <v>10034</v>
      </c>
      <c r="I35" s="63">
        <v>11104</v>
      </c>
      <c r="J35" s="63">
        <v>9509</v>
      </c>
      <c r="K35" s="63">
        <f t="shared" si="2"/>
        <v>20613</v>
      </c>
      <c r="L35" s="63">
        <v>20785</v>
      </c>
      <c r="M35" s="63">
        <v>18596</v>
      </c>
      <c r="N35" s="63">
        <f t="shared" si="3"/>
        <v>39381</v>
      </c>
      <c r="O35" s="63">
        <v>0</v>
      </c>
      <c r="P35" s="63">
        <v>0</v>
      </c>
      <c r="Q35" s="63">
        <v>0</v>
      </c>
    </row>
    <row r="36" spans="1:17" ht="19.5" customHeight="1">
      <c r="A36" s="8">
        <v>32</v>
      </c>
      <c r="B36" s="2" t="s">
        <v>42</v>
      </c>
      <c r="C36" s="63">
        <v>2099</v>
      </c>
      <c r="D36" s="63">
        <v>1703</v>
      </c>
      <c r="E36" s="63">
        <f t="shared" si="0"/>
        <v>3802</v>
      </c>
      <c r="F36" s="63">
        <v>2928</v>
      </c>
      <c r="G36" s="63">
        <v>2650</v>
      </c>
      <c r="H36" s="63">
        <f t="shared" si="1"/>
        <v>5578</v>
      </c>
      <c r="I36" s="63">
        <v>8890</v>
      </c>
      <c r="J36" s="63">
        <v>7072</v>
      </c>
      <c r="K36" s="63">
        <f t="shared" si="2"/>
        <v>15962</v>
      </c>
      <c r="L36" s="63">
        <v>5787</v>
      </c>
      <c r="M36" s="63">
        <v>5432</v>
      </c>
      <c r="N36" s="63">
        <f t="shared" si="3"/>
        <v>11219</v>
      </c>
      <c r="O36" s="63">
        <v>1888</v>
      </c>
      <c r="P36" s="63">
        <v>1545</v>
      </c>
      <c r="Q36" s="63">
        <f t="shared" si="4"/>
        <v>3433</v>
      </c>
    </row>
    <row r="37" spans="1:17" ht="19.5" customHeight="1">
      <c r="A37" s="8">
        <v>33</v>
      </c>
      <c r="B37" s="2" t="s">
        <v>43</v>
      </c>
      <c r="C37" s="63">
        <v>1253128</v>
      </c>
      <c r="D37" s="63">
        <v>1100421</v>
      </c>
      <c r="E37" s="63">
        <f t="shared" si="0"/>
        <v>2353549</v>
      </c>
      <c r="F37" s="63">
        <v>221436</v>
      </c>
      <c r="G37" s="63">
        <v>153812</v>
      </c>
      <c r="H37" s="63">
        <f t="shared" si="1"/>
        <v>375248</v>
      </c>
      <c r="I37" s="63">
        <v>146678</v>
      </c>
      <c r="J37" s="63">
        <v>93843</v>
      </c>
      <c r="K37" s="63">
        <f t="shared" si="2"/>
        <v>240521</v>
      </c>
      <c r="L37" s="63">
        <f>602425-40</f>
        <v>602385</v>
      </c>
      <c r="M37" s="63">
        <v>576863</v>
      </c>
      <c r="N37" s="63">
        <f t="shared" si="3"/>
        <v>1179248</v>
      </c>
      <c r="O37" s="63">
        <v>2664</v>
      </c>
      <c r="P37" s="63">
        <v>2777</v>
      </c>
      <c r="Q37" s="63">
        <f t="shared" si="4"/>
        <v>5441</v>
      </c>
    </row>
    <row r="38" spans="1:17" ht="19.5" customHeight="1">
      <c r="A38" s="8">
        <v>34</v>
      </c>
      <c r="B38" s="2" t="s">
        <v>58</v>
      </c>
      <c r="C38" s="63">
        <v>1086</v>
      </c>
      <c r="D38" s="63">
        <v>1140</v>
      </c>
      <c r="E38" s="63">
        <f t="shared" si="0"/>
        <v>2226</v>
      </c>
      <c r="F38" s="63">
        <v>1318</v>
      </c>
      <c r="G38" s="63">
        <v>1171</v>
      </c>
      <c r="H38" s="63">
        <f t="shared" si="1"/>
        <v>2489</v>
      </c>
      <c r="I38" s="63">
        <v>1888</v>
      </c>
      <c r="J38" s="63">
        <v>2232</v>
      </c>
      <c r="K38" s="63">
        <f t="shared" si="2"/>
        <v>4120</v>
      </c>
      <c r="L38" s="63">
        <v>2963</v>
      </c>
      <c r="M38" s="63">
        <v>2773</v>
      </c>
      <c r="N38" s="63">
        <f t="shared" si="3"/>
        <v>5736</v>
      </c>
      <c r="O38" s="63">
        <v>481</v>
      </c>
      <c r="P38" s="63">
        <v>589</v>
      </c>
      <c r="Q38" s="63">
        <f t="shared" si="4"/>
        <v>1070</v>
      </c>
    </row>
    <row r="39" spans="1:17" ht="19.5" customHeight="1">
      <c r="A39" s="8">
        <v>35</v>
      </c>
      <c r="B39" s="2" t="s">
        <v>45</v>
      </c>
      <c r="C39" s="63">
        <v>13225</v>
      </c>
      <c r="D39" s="63">
        <v>15575</v>
      </c>
      <c r="E39" s="63">
        <f t="shared" si="0"/>
        <v>28800</v>
      </c>
      <c r="F39" s="63">
        <v>23644</v>
      </c>
      <c r="G39" s="63">
        <v>22417</v>
      </c>
      <c r="H39" s="63">
        <f t="shared" si="1"/>
        <v>46061</v>
      </c>
      <c r="I39" s="63">
        <v>36562</v>
      </c>
      <c r="J39" s="63">
        <v>34627</v>
      </c>
      <c r="K39" s="63">
        <f t="shared" si="2"/>
        <v>71189</v>
      </c>
      <c r="L39" s="63">
        <v>56507</v>
      </c>
      <c r="M39" s="63">
        <v>53296</v>
      </c>
      <c r="N39" s="63">
        <f t="shared" si="3"/>
        <v>109803</v>
      </c>
      <c r="O39" s="63">
        <v>20303</v>
      </c>
      <c r="P39" s="63">
        <v>18054</v>
      </c>
      <c r="Q39" s="63">
        <f t="shared" si="4"/>
        <v>38357</v>
      </c>
    </row>
    <row r="40" spans="1:17" s="83" customFormat="1" ht="19.5" customHeight="1">
      <c r="A40" s="286" t="s">
        <v>46</v>
      </c>
      <c r="B40" s="286"/>
      <c r="C40" s="82">
        <f>SUM(C5:C39)</f>
        <v>23664687</v>
      </c>
      <c r="D40" s="82">
        <f t="shared" ref="D40:Q40" si="11">SUM(D5:D39)</f>
        <v>19346920</v>
      </c>
      <c r="E40" s="82">
        <f t="shared" si="11"/>
        <v>43011607</v>
      </c>
      <c r="F40" s="82">
        <f t="shared" si="11"/>
        <v>20130799</v>
      </c>
      <c r="G40" s="82">
        <f t="shared" si="11"/>
        <v>16928578</v>
      </c>
      <c r="H40" s="82">
        <f t="shared" si="11"/>
        <v>37059377</v>
      </c>
      <c r="I40" s="82">
        <f t="shared" si="11"/>
        <v>36523005</v>
      </c>
      <c r="J40" s="82">
        <f t="shared" si="11"/>
        <v>33426539</v>
      </c>
      <c r="K40" s="82">
        <f t="shared" si="11"/>
        <v>69949544</v>
      </c>
      <c r="L40" s="82">
        <f t="shared" si="11"/>
        <v>47127249</v>
      </c>
      <c r="M40" s="82">
        <f t="shared" si="11"/>
        <v>44853389</v>
      </c>
      <c r="N40" s="82">
        <f t="shared" si="11"/>
        <v>91980638</v>
      </c>
      <c r="O40" s="82">
        <f t="shared" si="11"/>
        <v>526786</v>
      </c>
      <c r="P40" s="82">
        <f t="shared" si="11"/>
        <v>430563</v>
      </c>
      <c r="Q40" s="82">
        <f t="shared" si="11"/>
        <v>957349</v>
      </c>
    </row>
  </sheetData>
  <mergeCells count="8">
    <mergeCell ref="O2:Q2"/>
    <mergeCell ref="A40:B40"/>
    <mergeCell ref="A2:A3"/>
    <mergeCell ref="B2:B3"/>
    <mergeCell ref="C2:E2"/>
    <mergeCell ref="F2:H2"/>
    <mergeCell ref="I2:K2"/>
    <mergeCell ref="L2:N2"/>
  </mergeCells>
  <printOptions horizontalCentered="1"/>
  <pageMargins left="0.18" right="0.17" top="0.3" bottom="0.41" header="0.22" footer="0.17"/>
  <pageSetup paperSize="9" scale="70" firstPageNumber="78" orientation="landscape" useFirstPageNumber="1" r:id="rId1"/>
  <headerFooter alignWithMargins="0">
    <oddFooter>&amp;LStatistics of School Education 2011-12&amp;R&amp;P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41"/>
  <sheetViews>
    <sheetView view="pageBreakPreview" zoomScaleSheetLayoutView="100" workbookViewId="0">
      <pane xSplit="2" ySplit="3" topLeftCell="C4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defaultRowHeight="15.75"/>
  <cols>
    <col min="1" max="1" width="5.140625" style="5" customWidth="1"/>
    <col min="2" max="2" width="19.5703125" style="5" customWidth="1"/>
    <col min="3" max="7" width="16.140625" style="5" customWidth="1"/>
    <col min="8" max="16384" width="9.140625" style="5"/>
  </cols>
  <sheetData>
    <row r="1" spans="1:7" s="4" customFormat="1" ht="24.75" customHeight="1">
      <c r="B1" s="1" t="s">
        <v>109</v>
      </c>
      <c r="C1" s="16" t="s">
        <v>108</v>
      </c>
      <c r="D1" s="16"/>
      <c r="E1" s="16"/>
      <c r="F1" s="16"/>
      <c r="G1" s="16"/>
    </row>
    <row r="2" spans="1:7" s="12" customFormat="1" ht="69" customHeight="1">
      <c r="A2" s="64" t="s">
        <v>67</v>
      </c>
      <c r="B2" s="64" t="s">
        <v>65</v>
      </c>
      <c r="C2" s="66" t="s">
        <v>68</v>
      </c>
      <c r="D2" s="66" t="s">
        <v>72</v>
      </c>
      <c r="E2" s="66" t="s">
        <v>69</v>
      </c>
      <c r="F2" s="66" t="s">
        <v>59</v>
      </c>
      <c r="G2" s="66" t="s">
        <v>70</v>
      </c>
    </row>
    <row r="3" spans="1:7" s="21" customFormat="1" ht="13.5" customHeight="1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</row>
    <row r="4" spans="1:7" ht="19.5" customHeight="1">
      <c r="A4" s="6">
        <v>1</v>
      </c>
      <c r="B4" s="2" t="s">
        <v>16</v>
      </c>
      <c r="C4" s="9">
        <f>IF([4]PTR!C6=0,"",PTR!C4/[4]PTR!C6)</f>
        <v>0.82426393888148441</v>
      </c>
      <c r="D4" s="9">
        <f>IF([4]PTR!D6=0,"",PTR!D4/[4]PTR!D6)</f>
        <v>0.89100849723784548</v>
      </c>
      <c r="E4" s="9">
        <f>IF([4]PTR!E6=0,"",PTR!E4/[4]PTR!E6)</f>
        <v>0.82713643472522691</v>
      </c>
      <c r="F4" s="9">
        <f>IF([4]PTR!F6=0,"",PTR!F4/[4]PTR!F6)</f>
        <v>0.94465591838398622</v>
      </c>
      <c r="G4" s="9" t="str">
        <f>IF([4]PTR!G6=0,"",PTR!G4/[4]PTR!G6)</f>
        <v/>
      </c>
    </row>
    <row r="5" spans="1:7" ht="19.5" customHeight="1">
      <c r="A5" s="6">
        <v>2</v>
      </c>
      <c r="B5" s="2" t="s">
        <v>17</v>
      </c>
      <c r="C5" s="9">
        <f>IF([4]PTR!C7=0,"",PTR!C5/[4]PTR!C7)</f>
        <v>1.0217277522043133</v>
      </c>
      <c r="D5" s="9">
        <f>IF([4]PTR!D7=0,"",PTR!D5/[4]PTR!D7)</f>
        <v>1.0770232080157576</v>
      </c>
      <c r="E5" s="9">
        <f>IF([4]PTR!E7=0,"",PTR!E5/[4]PTR!E7)</f>
        <v>0.98551496589580834</v>
      </c>
      <c r="F5" s="9">
        <f>IF([4]PTR!F7=0,"",PTR!F5/[4]PTR!F7)</f>
        <v>1.1983863312766967</v>
      </c>
      <c r="G5" s="9" t="str">
        <f>IF([4]PTR!G7=0,"",PTR!G5/[4]PTR!G7)</f>
        <v/>
      </c>
    </row>
    <row r="6" spans="1:7" ht="19.5" customHeight="1">
      <c r="A6" s="6">
        <v>3</v>
      </c>
      <c r="B6" s="2" t="s">
        <v>48</v>
      </c>
      <c r="C6" s="9">
        <f>IF([4]PTR!C8=0,"",PTR!C6/[4]PTR!C8)</f>
        <v>0.54424359071995787</v>
      </c>
      <c r="D6" s="9">
        <f>IF([4]PTR!D8=0,"",PTR!D6/[4]PTR!D8)</f>
        <v>0.90408975697364358</v>
      </c>
      <c r="E6" s="9">
        <f>IF([4]PTR!E8=0,"",PTR!E6/[4]PTR!E8)</f>
        <v>0.81789898999423627</v>
      </c>
      <c r="F6" s="9">
        <f>IF([4]PTR!F8=0,"",PTR!F6/[4]PTR!F8)</f>
        <v>1.0029560599642529</v>
      </c>
      <c r="G6" s="9" t="str">
        <f>IF([4]PTR!G8=0,"",PTR!G6/[4]PTR!G8)</f>
        <v/>
      </c>
    </row>
    <row r="7" spans="1:7" ht="19.5" customHeight="1">
      <c r="A7" s="6">
        <v>4</v>
      </c>
      <c r="B7" s="3" t="s">
        <v>49</v>
      </c>
      <c r="C7" s="9">
        <f>IF([4]PTR!C9=0,"",PTR!C7/[4]PTR!C9)</f>
        <v>1.3701400298766107</v>
      </c>
      <c r="D7" s="9">
        <f>IF([4]PTR!D9=0,"",PTR!D7/[4]PTR!D9)</f>
        <v>1.1964227867103858</v>
      </c>
      <c r="E7" s="9">
        <f>IF([4]PTR!E9=0,"",PTR!E7/[4]PTR!E9)</f>
        <v>0.88702530934691848</v>
      </c>
      <c r="F7" s="9">
        <f>IF([4]PTR!F9=0,"",PTR!F7/[4]PTR!F9)</f>
        <v>1.026652712654476</v>
      </c>
      <c r="G7" s="9" t="str">
        <f>IF([4]PTR!G9=0,"",PTR!G7/[4]PTR!G9)</f>
        <v/>
      </c>
    </row>
    <row r="8" spans="1:7" ht="19.5" customHeight="1">
      <c r="A8" s="6">
        <v>5</v>
      </c>
      <c r="B8" s="3" t="s">
        <v>19</v>
      </c>
      <c r="C8" s="9">
        <f>IF([4]PTR!C10=0,"",PTR!C8/[4]PTR!C10)</f>
        <v>1.0302643226473629</v>
      </c>
      <c r="D8" s="9">
        <f>IF([4]PTR!D10=0,"",PTR!D8/[4]PTR!D10)</f>
        <v>1.1021010679623882</v>
      </c>
      <c r="E8" s="9">
        <f>IF([4]PTR!E10=0,"",PTR!E8/[4]PTR!E10)</f>
        <v>1.0258017786960187</v>
      </c>
      <c r="F8" s="9">
        <f>IF([4]PTR!F10=0,"",PTR!F8/[4]PTR!F10)</f>
        <v>0.95506649199506444</v>
      </c>
      <c r="G8" s="9" t="str">
        <f>IF([4]PTR!G10=0,"",PTR!G8/[4]PTR!G10)</f>
        <v/>
      </c>
    </row>
    <row r="9" spans="1:7" ht="19.5" customHeight="1">
      <c r="A9" s="6">
        <v>6</v>
      </c>
      <c r="B9" s="2" t="s">
        <v>20</v>
      </c>
      <c r="C9" s="9">
        <f>IF([4]PTR!C11=0,"",PTR!C9/[4]PTR!C11)</f>
        <v>1.0305951688009314</v>
      </c>
      <c r="D9" s="9">
        <f>IF([4]PTR!D11=0,"",PTR!D9/[4]PTR!D11)</f>
        <v>1.1056899395272128</v>
      </c>
      <c r="E9" s="9">
        <f>IF([4]PTR!E11=0,"",PTR!E9/[4]PTR!E11)</f>
        <v>1.0521104960049084</v>
      </c>
      <c r="F9" s="9">
        <f>IF([4]PTR!F11=0,"",PTR!F9/[4]PTR!F11)</f>
        <v>0.96135850989430971</v>
      </c>
      <c r="G9" s="9" t="str">
        <f>IF([4]PTR!G11=0,"",PTR!G9/[4]PTR!G11)</f>
        <v/>
      </c>
    </row>
    <row r="10" spans="1:7" ht="19.5" customHeight="1">
      <c r="A10" s="6">
        <v>7</v>
      </c>
      <c r="B10" s="2" t="s">
        <v>21</v>
      </c>
      <c r="C10" s="9">
        <f>IF([4]PTR!C12=0,"",PTR!C10/[4]PTR!C12)</f>
        <v>0.81104669696356202</v>
      </c>
      <c r="D10" s="9">
        <f>IF([4]PTR!D12=0,"",PTR!D10/[4]PTR!D12)</f>
        <v>1.5332931308677766</v>
      </c>
      <c r="E10" s="9">
        <f>IF([4]PTR!E12=0,"",PTR!E10/[4]PTR!E12)</f>
        <v>0.99246469823534744</v>
      </c>
      <c r="F10" s="9" t="e">
        <f>IF([4]PTR!F12=0,"",PTR!F10/[4]PTR!F12)</f>
        <v>#VALUE!</v>
      </c>
      <c r="G10" s="9" t="str">
        <f>IF([4]PTR!G12=0,"",PTR!G10/[4]PTR!G12)</f>
        <v/>
      </c>
    </row>
    <row r="11" spans="1:7" ht="19.5" customHeight="1">
      <c r="A11" s="6">
        <v>8</v>
      </c>
      <c r="B11" s="2" t="s">
        <v>22</v>
      </c>
      <c r="C11" s="9">
        <f>IF([4]PTR!C13=0,"",PTR!C11/[4]PTR!C13)</f>
        <v>1.1598986188247011</v>
      </c>
      <c r="D11" s="9">
        <f>IF([4]PTR!D13=0,"",PTR!D11/[4]PTR!D13)</f>
        <v>0.98380738873020468</v>
      </c>
      <c r="E11" s="9">
        <f>IF([4]PTR!E13=0,"",PTR!E11/[4]PTR!E13)</f>
        <v>0.92276139300217408</v>
      </c>
      <c r="F11" s="9">
        <f>IF([4]PTR!F13=0,"",PTR!F11/[4]PTR!F13)</f>
        <v>0.98691245798674687</v>
      </c>
      <c r="G11" s="9" t="str">
        <f>IF([4]PTR!G13=0,"",PTR!G11/[4]PTR!G13)</f>
        <v/>
      </c>
    </row>
    <row r="12" spans="1:7" ht="19.5" customHeight="1">
      <c r="A12" s="8">
        <v>9</v>
      </c>
      <c r="B12" s="2" t="s">
        <v>50</v>
      </c>
      <c r="C12" s="9">
        <f>IF([4]PTR!C14=0,"",PTR!C12/[4]PTR!C14)</f>
        <v>0.98356271744713741</v>
      </c>
      <c r="D12" s="9">
        <f>IF([4]PTR!D14=0,"",PTR!D12/[4]PTR!D14)</f>
        <v>0.81839175659545449</v>
      </c>
      <c r="E12" s="9">
        <f>IF([4]PTR!E14=0,"",PTR!E12/[4]PTR!E14)</f>
        <v>0.84403176395251023</v>
      </c>
      <c r="F12" s="9">
        <f>IF([4]PTR!F14=0,"",PTR!F12/[4]PTR!F14)</f>
        <v>0.968176392615272</v>
      </c>
      <c r="G12" s="9" t="str">
        <f>IF([4]PTR!G14=0,"",PTR!G12/[4]PTR!G14)</f>
        <v/>
      </c>
    </row>
    <row r="13" spans="1:7" ht="19.5" customHeight="1">
      <c r="A13" s="6">
        <v>10</v>
      </c>
      <c r="B13" s="2" t="s">
        <v>51</v>
      </c>
      <c r="C13" s="9">
        <f>IF([4]PTR!C15=0,"",PTR!C13/[4]PTR!C15)</f>
        <v>1.0274887762433462</v>
      </c>
      <c r="D13" s="9">
        <f>IF([4]PTR!D15=0,"",PTR!D13/[4]PTR!D15)</f>
        <v>1.0193550609007107</v>
      </c>
      <c r="E13" s="9">
        <f>IF([4]PTR!E15=0,"",PTR!E13/[4]PTR!E15)</f>
        <v>0.98413646390053788</v>
      </c>
      <c r="F13" s="9">
        <f>IF([4]PTR!F15=0,"",PTR!F13/[4]PTR!F15)</f>
        <v>0.96479027197579803</v>
      </c>
      <c r="G13" s="9" t="str">
        <f>IF([4]PTR!G15=0,"",PTR!G13/[4]PTR!G15)</f>
        <v/>
      </c>
    </row>
    <row r="14" spans="1:7" s="75" customFormat="1" ht="19.5" customHeight="1">
      <c r="A14" s="73">
        <v>11</v>
      </c>
      <c r="B14" s="74" t="s">
        <v>52</v>
      </c>
      <c r="C14" s="9" t="e">
        <f>IF([4]PTR!C16=0,"",PTR!C14/[4]PTR!C16)</f>
        <v>#VALUE!</v>
      </c>
      <c r="D14" s="9" t="e">
        <f>IF([4]PTR!D16=0,"",PTR!D14/[4]PTR!D16)</f>
        <v>#VALUE!</v>
      </c>
      <c r="E14" s="9" t="e">
        <f>IF([4]PTR!E16=0,"",PTR!E14/[4]PTR!E16)</f>
        <v>#VALUE!</v>
      </c>
      <c r="F14" s="9" t="e">
        <f>IF([4]PTR!F16=0,"",PTR!F14/[4]PTR!F16)</f>
        <v>#VALUE!</v>
      </c>
      <c r="G14" s="9" t="str">
        <f>IF([4]PTR!G16=0,"",PTR!G14/[4]PTR!G16)</f>
        <v/>
      </c>
    </row>
    <row r="15" spans="1:7" ht="19.5" customHeight="1">
      <c r="A15" s="6">
        <v>12</v>
      </c>
      <c r="B15" s="2" t="s">
        <v>25</v>
      </c>
      <c r="C15" s="9">
        <f>IF([4]PTR!C17=0,"",PTR!C15/[4]PTR!C17)</f>
        <v>0.99733608735932444</v>
      </c>
      <c r="D15" s="9">
        <f>IF([4]PTR!D17=0,"",PTR!D15/[4]PTR!D17)</f>
        <v>0.9344433600871348</v>
      </c>
      <c r="E15" s="9">
        <f>IF([4]PTR!E17=0,"",PTR!E15/[4]PTR!E17)</f>
        <v>0.94578222143847335</v>
      </c>
      <c r="F15" s="9">
        <f>IF([4]PTR!F17=0,"",PTR!F15/[4]PTR!F17)</f>
        <v>0.93322457074323251</v>
      </c>
      <c r="G15" s="9" t="str">
        <f>IF([4]PTR!G17=0,"",PTR!G15/[4]PTR!G17)</f>
        <v/>
      </c>
    </row>
    <row r="16" spans="1:7" ht="19.5" customHeight="1">
      <c r="A16" s="6">
        <v>13</v>
      </c>
      <c r="B16" s="2" t="s">
        <v>53</v>
      </c>
      <c r="C16" s="9">
        <f>IF([4]PTR!C18=0,"",PTR!C16/[4]PTR!C18)</f>
        <v>0.95322482486454307</v>
      </c>
      <c r="D16" s="9">
        <f>IF([4]PTR!D18=0,"",PTR!D16/[4]PTR!D18)</f>
        <v>0.90387438874464354</v>
      </c>
      <c r="E16" s="9">
        <f>IF([4]PTR!E18=0,"",PTR!E16/[4]PTR!E18)</f>
        <v>0.97335319912456431</v>
      </c>
      <c r="F16" s="9">
        <f>IF([4]PTR!F18=0,"",PTR!F16/[4]PTR!F18)</f>
        <v>0.73919117449754479</v>
      </c>
      <c r="G16" s="9" t="str">
        <f>IF([4]PTR!G18=0,"",PTR!G16/[4]PTR!G18)</f>
        <v/>
      </c>
    </row>
    <row r="17" spans="1:7" ht="19.5" customHeight="1">
      <c r="A17" s="6">
        <v>14</v>
      </c>
      <c r="B17" s="2" t="s">
        <v>27</v>
      </c>
      <c r="C17" s="9">
        <f>IF([4]PTR!C19=0,"",PTR!C17/[4]PTR!C19)</f>
        <v>0.94361374306598433</v>
      </c>
      <c r="D17" s="9">
        <f>IF([4]PTR!D19=0,"",PTR!D17/[4]PTR!D19)</f>
        <v>1.2112623319438776</v>
      </c>
      <c r="E17" s="9">
        <f>IF([4]PTR!E19=0,"",PTR!E17/[4]PTR!E19)</f>
        <v>1.2051071725013429</v>
      </c>
      <c r="F17" s="9">
        <f>IF([4]PTR!F19=0,"",PTR!F17/[4]PTR!F19)</f>
        <v>0.9282969250418841</v>
      </c>
      <c r="G17" s="9" t="str">
        <f>IF([4]PTR!G19=0,"",PTR!G17/[4]PTR!G19)</f>
        <v/>
      </c>
    </row>
    <row r="18" spans="1:7" ht="19.5" customHeight="1">
      <c r="A18" s="6">
        <v>15</v>
      </c>
      <c r="B18" s="2" t="s">
        <v>28</v>
      </c>
      <c r="C18" s="9">
        <f>IF([4]PTR!C20=0,"",PTR!C18/[4]PTR!C20)</f>
        <v>0.57634129511220089</v>
      </c>
      <c r="D18" s="9">
        <f>IF([4]PTR!D20=0,"",PTR!D18/[4]PTR!D20)</f>
        <v>0.95124506393094521</v>
      </c>
      <c r="E18" s="9">
        <f>IF([4]PTR!E20=0,"",PTR!E18/[4]PTR!E20)</f>
        <v>0.96974823003938992</v>
      </c>
      <c r="F18" s="9">
        <f>IF([4]PTR!F20=0,"",PTR!F18/[4]PTR!F20)</f>
        <v>0.88739714932871727</v>
      </c>
      <c r="G18" s="9" t="str">
        <f>IF([4]PTR!G20=0,"",PTR!G18/[4]PTR!G20)</f>
        <v/>
      </c>
    </row>
    <row r="19" spans="1:7" ht="19.5" customHeight="1">
      <c r="A19" s="6">
        <v>16</v>
      </c>
      <c r="B19" s="2" t="s">
        <v>29</v>
      </c>
      <c r="C19" s="9">
        <f>IF([4]PTR!C21=0,"",PTR!C19/[4]PTR!C21)</f>
        <v>0.93917489171341328</v>
      </c>
      <c r="D19" s="9">
        <f>IF([4]PTR!D21=0,"",PTR!D19/[4]PTR!D21)</f>
        <v>0.70508253176582358</v>
      </c>
      <c r="E19" s="9">
        <f>IF([4]PTR!E21=0,"",PTR!E19/[4]PTR!E21)</f>
        <v>1.3477981165327768</v>
      </c>
      <c r="F19" s="9">
        <f>IF([4]PTR!F21=0,"",PTR!F19/[4]PTR!F21)</f>
        <v>0.75259634450399515</v>
      </c>
      <c r="G19" s="9" t="str">
        <f>IF([4]PTR!G21=0,"",PTR!G19/[4]PTR!G21)</f>
        <v/>
      </c>
    </row>
    <row r="20" spans="1:7" ht="19.5" customHeight="1">
      <c r="A20" s="6">
        <v>17</v>
      </c>
      <c r="B20" s="2" t="s">
        <v>30</v>
      </c>
      <c r="C20" s="9">
        <f>IF([4]PTR!C22=0,"",PTR!C20/[4]PTR!C22)</f>
        <v>0.73136223471793937</v>
      </c>
      <c r="D20" s="9">
        <f>IF([4]PTR!D22=0,"",PTR!D20/[4]PTR!D22)</f>
        <v>0.31046462182783879</v>
      </c>
      <c r="E20" s="9">
        <f>IF([4]PTR!E22=0,"",PTR!E20/[4]PTR!E22)</f>
        <v>0.68420765524138549</v>
      </c>
      <c r="F20" s="9">
        <f>IF([4]PTR!F22=0,"",PTR!F20/[4]PTR!F22)</f>
        <v>0.70779999069947452</v>
      </c>
      <c r="G20" s="9" t="str">
        <f>IF([4]PTR!G22=0,"",PTR!G20/[4]PTR!G22)</f>
        <v/>
      </c>
    </row>
    <row r="21" spans="1:7" ht="19.5" customHeight="1">
      <c r="A21" s="6">
        <v>18</v>
      </c>
      <c r="B21" s="2" t="s">
        <v>31</v>
      </c>
      <c r="C21" s="9">
        <f>IF([4]PTR!C23=0,"",PTR!C21/[4]PTR!C23)</f>
        <v>1.0768960056308288</v>
      </c>
      <c r="D21" s="9">
        <f>IF([4]PTR!D23=0,"",PTR!D21/[4]PTR!D23)</f>
        <v>0.71043412345577839</v>
      </c>
      <c r="E21" s="9">
        <f>IF([4]PTR!E23=0,"",PTR!E21/[4]PTR!E23)</f>
        <v>1.0194680723613274</v>
      </c>
      <c r="F21" s="9">
        <f>IF([4]PTR!F23=0,"",PTR!F21/[4]PTR!F23)</f>
        <v>0.76406244970223725</v>
      </c>
      <c r="G21" s="9" t="str">
        <f>IF([4]PTR!G23=0,"",PTR!G21/[4]PTR!G23)</f>
        <v/>
      </c>
    </row>
    <row r="22" spans="1:7" ht="19.5" customHeight="1">
      <c r="A22" s="6">
        <v>19</v>
      </c>
      <c r="B22" s="2" t="s">
        <v>54</v>
      </c>
      <c r="C22" s="9">
        <f>IF([4]PTR!C24=0,"",PTR!C22/[4]PTR!C24)</f>
        <v>0.98932213557288551</v>
      </c>
      <c r="D22" s="9">
        <f>IF([4]PTR!D24=0,"",PTR!D22/[4]PTR!D24)</f>
        <v>1.1160197565356216</v>
      </c>
      <c r="E22" s="9">
        <f>IF([4]PTR!E24=0,"",PTR!E22/[4]PTR!E24)</f>
        <v>0.98093564088696594</v>
      </c>
      <c r="F22" s="9">
        <f>IF([4]PTR!F24=0,"",PTR!F22/[4]PTR!F24)</f>
        <v>1.022536677526942</v>
      </c>
      <c r="G22" s="9" t="str">
        <f>IF([4]PTR!G24=0,"",PTR!G22/[4]PTR!G24)</f>
        <v/>
      </c>
    </row>
    <row r="23" spans="1:7" ht="19.5" customHeight="1">
      <c r="A23" s="6">
        <v>20</v>
      </c>
      <c r="B23" s="2" t="s">
        <v>55</v>
      </c>
      <c r="C23" s="9">
        <f>IF([4]PTR!C25=0,"",PTR!C23/[4]PTR!C25)</f>
        <v>1.0894298009682626</v>
      </c>
      <c r="D23" s="9">
        <f>IF([4]PTR!D25=0,"",PTR!D23/[4]PTR!D25)</f>
        <v>1.1155967524796</v>
      </c>
      <c r="E23" s="9">
        <f>IF([4]PTR!E25=0,"",PTR!E23/[4]PTR!E25)</f>
        <v>0.9649993351298396</v>
      </c>
      <c r="F23" s="9">
        <f>IF([4]PTR!F25=0,"",PTR!F23/[4]PTR!F25)</f>
        <v>0.96900918456572782</v>
      </c>
      <c r="G23" s="9" t="str">
        <f>IF([4]PTR!G25=0,"",PTR!G23/[4]PTR!G25)</f>
        <v/>
      </c>
    </row>
    <row r="24" spans="1:7" ht="19.5" customHeight="1">
      <c r="A24" s="6">
        <v>21</v>
      </c>
      <c r="B24" s="2" t="s">
        <v>56</v>
      </c>
      <c r="C24" s="9">
        <f>IF([4]PTR!C26=0,"",PTR!C24/[4]PTR!C26)</f>
        <v>1.0132150345736437</v>
      </c>
      <c r="D24" s="9">
        <f>IF([4]PTR!D26=0,"",PTR!D24/[4]PTR!D26)</f>
        <v>1.1533896390633795</v>
      </c>
      <c r="E24" s="9">
        <f>IF([4]PTR!E26=0,"",PTR!E24/[4]PTR!E26)</f>
        <v>2.0039223932606931</v>
      </c>
      <c r="F24" s="9">
        <f>IF([4]PTR!F26=0,"",PTR!F24/[4]PTR!F26)</f>
        <v>0.95145023699617992</v>
      </c>
      <c r="G24" s="9" t="str">
        <f>IF([4]PTR!G26=0,"",PTR!G24/[4]PTR!G26)</f>
        <v/>
      </c>
    </row>
    <row r="25" spans="1:7" ht="19.5" customHeight="1">
      <c r="A25" s="6">
        <v>22</v>
      </c>
      <c r="B25" s="2" t="s">
        <v>32</v>
      </c>
      <c r="C25" s="9">
        <f>IF([4]PTR!C27=0,"",PTR!C25/[4]PTR!C27)</f>
        <v>0.98094829455399435</v>
      </c>
      <c r="D25" s="9">
        <f>IF([4]PTR!D27=0,"",PTR!D25/[4]PTR!D27)</f>
        <v>0.9902468432481355</v>
      </c>
      <c r="E25" s="9">
        <f>IF([4]PTR!E27=0,"",PTR!E25/[4]PTR!E27)</f>
        <v>0.88308061700891582</v>
      </c>
      <c r="F25" s="9">
        <f>IF([4]PTR!F27=0,"",PTR!F25/[4]PTR!F27)</f>
        <v>1.0884192807260982</v>
      </c>
      <c r="G25" s="9" t="str">
        <f>IF([4]PTR!G27=0,"",PTR!G25/[4]PTR!G27)</f>
        <v/>
      </c>
    </row>
    <row r="26" spans="1:7" ht="19.5" customHeight="1">
      <c r="A26" s="6">
        <v>23</v>
      </c>
      <c r="B26" s="2" t="s">
        <v>33</v>
      </c>
      <c r="C26" s="9">
        <f>IF([4]PTR!C28=0,"",PTR!C26/[4]PTR!C28)</f>
        <v>1.1372385931558935</v>
      </c>
      <c r="D26" s="9">
        <f>IF([4]PTR!D28=0,"",PTR!D26/[4]PTR!D28)</f>
        <v>1.8015728016522361</v>
      </c>
      <c r="E26" s="9">
        <f>IF([4]PTR!E28=0,"",PTR!E26/[4]PTR!E28)</f>
        <v>0.67189148455162018</v>
      </c>
      <c r="F26" s="9">
        <f>IF([4]PTR!F28=0,"",PTR!F26/[4]PTR!F28)</f>
        <v>0.51056649032605961</v>
      </c>
      <c r="G26" s="9" t="str">
        <f>IF([4]PTR!G28=0,"",PTR!G26/[4]PTR!G28)</f>
        <v/>
      </c>
    </row>
    <row r="27" spans="1:7" ht="19.5" customHeight="1">
      <c r="A27" s="6">
        <v>24</v>
      </c>
      <c r="B27" s="2" t="s">
        <v>34</v>
      </c>
      <c r="C27" s="9">
        <f>IF([4]PTR!C29=0,"",PTR!C27/[4]PTR!C29)</f>
        <v>0.97332308001690881</v>
      </c>
      <c r="D27" s="9">
        <f>IF([4]PTR!D29=0,"",PTR!D27/[4]PTR!D29)</f>
        <v>0.91062906463750348</v>
      </c>
      <c r="E27" s="9">
        <f>IF([4]PTR!E29=0,"",PTR!E27/[4]PTR!E29)</f>
        <v>0.5351535553570701</v>
      </c>
      <c r="F27" s="9">
        <f>IF([4]PTR!F29=0,"",PTR!F27/[4]PTR!F29)</f>
        <v>0.61006075983676911</v>
      </c>
      <c r="G27" s="9" t="str">
        <f>IF([4]PTR!G29=0,"",PTR!G27/[4]PTR!G29)</f>
        <v/>
      </c>
    </row>
    <row r="28" spans="1:7" ht="19.5" customHeight="1">
      <c r="A28" s="6">
        <v>25</v>
      </c>
      <c r="B28" s="2" t="s">
        <v>35</v>
      </c>
      <c r="C28" s="9">
        <f>IF([4]PTR!C30=0,"",PTR!C28/[4]PTR!C30)</f>
        <v>1.0171550346297282</v>
      </c>
      <c r="D28" s="9">
        <f>IF([4]PTR!D30=0,"",PTR!D28/[4]PTR!D30)</f>
        <v>0.79500193155630161</v>
      </c>
      <c r="E28" s="9">
        <f>IF([4]PTR!E30=0,"",PTR!E28/[4]PTR!E30)</f>
        <v>0.94821119158738898</v>
      </c>
      <c r="F28" s="9">
        <f>IF([4]PTR!F30=0,"",PTR!F28/[4]PTR!F30)</f>
        <v>0.59494417400517785</v>
      </c>
      <c r="G28" s="9" t="str">
        <f>IF([4]PTR!G30=0,"",PTR!G28/[4]PTR!G30)</f>
        <v/>
      </c>
    </row>
    <row r="29" spans="1:7" ht="19.5" customHeight="1">
      <c r="A29" s="6">
        <v>26</v>
      </c>
      <c r="B29" s="2" t="s">
        <v>36</v>
      </c>
      <c r="C29" s="9">
        <f>IF([4]PTR!C31=0,"",PTR!C29/[4]PTR!C31)</f>
        <v>0.70223298892966046</v>
      </c>
      <c r="D29" s="9">
        <f>IF([4]PTR!D31=0,"",PTR!D29/[4]PTR!D31)</f>
        <v>1.2024388746367325</v>
      </c>
      <c r="E29" s="9">
        <f>IF([4]PTR!E31=0,"",PTR!E29/[4]PTR!E31)</f>
        <v>0.5537780869864849</v>
      </c>
      <c r="F29" s="9">
        <f>IF([4]PTR!F31=0,"",PTR!F29/[4]PTR!F31)</f>
        <v>1.0817785533286299</v>
      </c>
      <c r="G29" s="9" t="str">
        <f>IF([4]PTR!G31=0,"",PTR!G29/[4]PTR!G31)</f>
        <v/>
      </c>
    </row>
    <row r="30" spans="1:7" ht="19.5" customHeight="1">
      <c r="A30" s="6">
        <v>27</v>
      </c>
      <c r="B30" s="2" t="s">
        <v>37</v>
      </c>
      <c r="C30" s="9">
        <f>IF([4]PTR!C32=0,"",PTR!C30/[4]PTR!C32)</f>
        <v>1.401411303025121</v>
      </c>
      <c r="D30" s="9">
        <f>IF([4]PTR!D32=0,"",PTR!D30/[4]PTR!D32)</f>
        <v>0.90230034210215881</v>
      </c>
      <c r="E30" s="9">
        <f>IF([4]PTR!E32=0,"",PTR!E30/[4]PTR!E32)</f>
        <v>1.0354260223492027</v>
      </c>
      <c r="F30" s="9">
        <f>IF([4]PTR!F32=0,"",PTR!F30/[4]PTR!F32)</f>
        <v>0.97333306548301179</v>
      </c>
      <c r="G30" s="9" t="str">
        <f>IF([4]PTR!G32=0,"",PTR!G30/[4]PTR!G32)</f>
        <v/>
      </c>
    </row>
    <row r="31" spans="1:7" ht="19.5" customHeight="1">
      <c r="A31" s="6">
        <v>28</v>
      </c>
      <c r="B31" s="2" t="s">
        <v>57</v>
      </c>
      <c r="C31" s="9">
        <f>IF([4]PTR!C33=0,"",PTR!C31/[4]PTR!C33)</f>
        <v>0.86111292699723641</v>
      </c>
      <c r="D31" s="9">
        <f>IF([4]PTR!D33=0,"",PTR!D31/[4]PTR!D33)</f>
        <v>2.2204173198551271</v>
      </c>
      <c r="E31" s="9">
        <f>IF([4]PTR!E33=0,"",PTR!E31/[4]PTR!E33)</f>
        <v>7.7129014705472008</v>
      </c>
      <c r="F31" s="9">
        <f>IF([4]PTR!F33=0,"",PTR!F31/[4]PTR!F33)</f>
        <v>0.87794482581110311</v>
      </c>
      <c r="G31" s="9" t="str">
        <f>IF([4]PTR!G33=0,"",PTR!G31/[4]PTR!G33)</f>
        <v/>
      </c>
    </row>
    <row r="32" spans="1:7" ht="19.5" customHeight="1">
      <c r="A32" s="6">
        <v>29</v>
      </c>
      <c r="B32" s="2" t="s">
        <v>39</v>
      </c>
      <c r="C32" s="9">
        <f>IF([4]PTR!C34=0,"",PTR!C32/[4]PTR!C34)</f>
        <v>0.99606939889342305</v>
      </c>
      <c r="D32" s="9">
        <f>IF([4]PTR!D34=0,"",PTR!D32/[4]PTR!D34)</f>
        <v>0.89101929737753593</v>
      </c>
      <c r="E32" s="9">
        <f>IF([4]PTR!E34=0,"",PTR!E32/[4]PTR!E34)</f>
        <v>0.94811280565732292</v>
      </c>
      <c r="F32" s="9">
        <f>IF([4]PTR!F34=0,"",PTR!F32/[4]PTR!F34)</f>
        <v>0.92350701879609809</v>
      </c>
      <c r="G32" s="9" t="str">
        <f>IF([4]PTR!G34=0,"",PTR!G32/[4]PTR!G34)</f>
        <v/>
      </c>
    </row>
    <row r="33" spans="1:7" ht="19.5" customHeight="1">
      <c r="A33" s="6">
        <v>30</v>
      </c>
      <c r="B33" s="2" t="s">
        <v>40</v>
      </c>
      <c r="C33" s="9">
        <f>IF([4]PTR!C35=0,"",PTR!C33/[4]PTR!C35)</f>
        <v>1.4536912751677853</v>
      </c>
      <c r="D33" s="9" t="e">
        <f>IF([4]PTR!D35=0,"",PTR!D33/[4]PTR!D35)</f>
        <v>#VALUE!</v>
      </c>
      <c r="E33" s="9">
        <f>IF([4]PTR!E35=0,"",PTR!E33/[4]PTR!E35)</f>
        <v>0.66386659979939822</v>
      </c>
      <c r="F33" s="9">
        <f>IF([4]PTR!F35=0,"",PTR!F33/[4]PTR!F35)</f>
        <v>1.3312883435582823</v>
      </c>
      <c r="G33" s="9" t="str">
        <f>IF([4]PTR!G35=0,"",PTR!G33/[4]PTR!G35)</f>
        <v/>
      </c>
    </row>
    <row r="34" spans="1:7" ht="19.5" customHeight="1">
      <c r="A34" s="6">
        <v>31</v>
      </c>
      <c r="B34" s="2" t="s">
        <v>41</v>
      </c>
      <c r="C34" s="9">
        <f>IF([4]PTR!C36=0,"",PTR!C34/[4]PTR!C36)</f>
        <v>1.2604201400466821</v>
      </c>
      <c r="D34" s="9">
        <f>IF([4]PTR!D36=0,"",PTR!D34/[4]PTR!D36)</f>
        <v>1.3870776526378186</v>
      </c>
      <c r="E34" s="9">
        <f>IF([4]PTR!E36=0,"",PTR!E34/[4]PTR!E36)</f>
        <v>1.089925015504313</v>
      </c>
      <c r="F34" s="9">
        <f>IF([4]PTR!F36=0,"",PTR!F34/[4]PTR!F36)</f>
        <v>1.0536953242835596</v>
      </c>
      <c r="G34" s="9" t="str">
        <f>IF([4]PTR!G36=0,"",PTR!G34/[4]PTR!G36)</f>
        <v/>
      </c>
    </row>
    <row r="35" spans="1:7" ht="19.5" customHeight="1">
      <c r="A35" s="6">
        <v>32</v>
      </c>
      <c r="B35" s="2" t="s">
        <v>42</v>
      </c>
      <c r="C35" s="9">
        <f>IF([4]PTR!C37=0,"",PTR!C35/[4]PTR!C37)</f>
        <v>0.90553856608902483</v>
      </c>
      <c r="D35" s="9">
        <f>IF([4]PTR!D37=0,"",PTR!D35/[4]PTR!D37)</f>
        <v>1.1531664212076582</v>
      </c>
      <c r="E35" s="9">
        <f>IF([4]PTR!E37=0,"",PTR!E35/[4]PTR!E37)</f>
        <v>1.2547824614863721</v>
      </c>
      <c r="F35" s="9">
        <f>IF([4]PTR!F37=0,"",PTR!F35/[4]PTR!F37)</f>
        <v>0.75513589383692747</v>
      </c>
      <c r="G35" s="9" t="str">
        <f>IF([4]PTR!G37=0,"",PTR!G35/[4]PTR!G37)</f>
        <v/>
      </c>
    </row>
    <row r="36" spans="1:7" ht="19.5" customHeight="1">
      <c r="A36" s="6">
        <v>33</v>
      </c>
      <c r="B36" s="2" t="s">
        <v>43</v>
      </c>
      <c r="C36" s="9">
        <f>IF([4]PTR!C38=0,"",PTR!C36/[4]PTR!C38)</f>
        <v>1.0419775591448281</v>
      </c>
      <c r="D36" s="9">
        <f>IF([4]PTR!D38=0,"",PTR!D36/[4]PTR!D38)</f>
        <v>1.0466705363885351</v>
      </c>
      <c r="E36" s="9">
        <f>IF([4]PTR!E38=0,"",PTR!E36/[4]PTR!E38)</f>
        <v>1.0104315716593584</v>
      </c>
      <c r="F36" s="9">
        <f>IF([4]PTR!F38=0,"",PTR!F36/[4]PTR!F38)</f>
        <v>1.0417777746465973</v>
      </c>
      <c r="G36" s="9" t="str">
        <f>IF([4]PTR!G38=0,"",PTR!G36/[4]PTR!G38)</f>
        <v/>
      </c>
    </row>
    <row r="37" spans="1:7" ht="19.5" customHeight="1">
      <c r="A37" s="6">
        <v>34</v>
      </c>
      <c r="B37" s="2" t="s">
        <v>58</v>
      </c>
      <c r="C37" s="9">
        <f>IF([4]PTR!C39=0,"",PTR!C37/[4]PTR!C39)</f>
        <v>0.11986301369863013</v>
      </c>
      <c r="D37" s="9">
        <f>IF([4]PTR!D39=0,"",PTR!D37/[4]PTR!D39)</f>
        <v>11.905330151153541</v>
      </c>
      <c r="E37" s="9">
        <f>IF([4]PTR!E39=0,"",PTR!E37/[4]PTR!E39)</f>
        <v>1.8769230769230769</v>
      </c>
      <c r="F37" s="9">
        <f>IF([4]PTR!F39=0,"",PTR!F37/[4]PTR!F39)</f>
        <v>0.95210752968811163</v>
      </c>
      <c r="G37" s="9" t="str">
        <f>IF([4]PTR!G39=0,"",PTR!G37/[4]PTR!G39)</f>
        <v/>
      </c>
    </row>
    <row r="38" spans="1:7" ht="19.5" customHeight="1">
      <c r="A38" s="6">
        <v>35</v>
      </c>
      <c r="B38" s="2" t="s">
        <v>45</v>
      </c>
      <c r="C38" s="9">
        <f>IF([4]PTR!C40=0,"",PTR!C38/[4]PTR!C40)</f>
        <v>3.7224337451782485</v>
      </c>
      <c r="D38" s="9">
        <f>IF([4]PTR!D40=0,"",PTR!D38/[4]PTR!D40)</f>
        <v>4.3556585856328898</v>
      </c>
      <c r="E38" s="9">
        <f>IF([4]PTR!E40=0,"",PTR!E38/[4]PTR!E40)</f>
        <v>0.73547373308096131</v>
      </c>
      <c r="F38" s="9">
        <f>IF([4]PTR!F40=0,"",PTR!F38/[4]PTR!F40)</f>
        <v>1.2337100129307921</v>
      </c>
      <c r="G38" s="9" t="str">
        <f>IF([4]PTR!G40=0,"",PTR!G38/[4]PTR!G40)</f>
        <v/>
      </c>
    </row>
    <row r="39" spans="1:7" s="71" customFormat="1" ht="19.5" customHeight="1">
      <c r="A39" s="286" t="s">
        <v>46</v>
      </c>
      <c r="B39" s="286"/>
      <c r="C39" s="9">
        <f>IF([4]PTR!C41=0,"",PTR!C39/[4]PTR!C41)</f>
        <v>0.84370073312649307</v>
      </c>
      <c r="D39" s="9">
        <f>IF([4]PTR!D41=0,"",PTR!D39/[4]PTR!D41)</f>
        <v>1.0498298511816879</v>
      </c>
      <c r="E39" s="9">
        <f>IF([4]PTR!E41=0,"",PTR!E39/[4]PTR!E41)</f>
        <v>1.0078647151511875</v>
      </c>
      <c r="F39" s="9">
        <f>IF([4]PTR!F41=0,"",PTR!F39/[4]PTR!F41)</f>
        <v>0.97356979944487632</v>
      </c>
      <c r="G39" s="9" t="str">
        <f>IF([4]PTR!G41=0,"",PTR!G39/[4]PTR!G41)</f>
        <v/>
      </c>
    </row>
    <row r="41" spans="1:7">
      <c r="F41" s="72"/>
    </row>
  </sheetData>
  <mergeCells count="1">
    <mergeCell ref="A39:B39"/>
  </mergeCells>
  <conditionalFormatting sqref="C4:G39">
    <cfRule type="cellIs" dxfId="0" priority="1" operator="greaterThan">
      <formula>1</formula>
    </cfRule>
  </conditionalFormatting>
  <printOptions horizontalCentered="1"/>
  <pageMargins left="0.18" right="0.17" top="0.35" bottom="0.41" header="0.22" footer="0.17"/>
  <pageSetup paperSize="9" scale="92" firstPageNumber="2" orientation="portrait" useFirstPageNumber="1" r:id="rId1"/>
  <headerFooter alignWithMargins="0">
    <oddFooter>&amp;LStatistics of School Education 2010-11&amp;R&amp;P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BM47"/>
  <sheetViews>
    <sheetView view="pageBreakPreview" topLeftCell="AS1" zoomScaleSheetLayoutView="100" workbookViewId="0">
      <selection activeCell="AW10" sqref="AW10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22" width="11.5703125" style="5" customWidth="1"/>
    <col min="23" max="23" width="13.42578125" style="5" customWidth="1"/>
    <col min="24" max="25" width="11.5703125" style="5" customWidth="1"/>
    <col min="26" max="26" width="13.85546875" style="5" customWidth="1"/>
    <col min="27" max="35" width="11.5703125" style="5" customWidth="1"/>
    <col min="36" max="36" width="12.5703125" style="5" customWidth="1"/>
    <col min="37" max="37" width="11.5703125" style="5" customWidth="1"/>
    <col min="38" max="38" width="12.5703125" style="5" customWidth="1"/>
    <col min="39" max="47" width="11.5703125" style="5" customWidth="1"/>
    <col min="48" max="50" width="12.7109375" style="5" customWidth="1"/>
    <col min="51" max="59" width="11.5703125" style="5" customWidth="1"/>
    <col min="60" max="60" width="12.5703125" style="5" customWidth="1"/>
    <col min="61" max="61" width="13.140625" style="5" customWidth="1"/>
    <col min="62" max="62" width="12.5703125" style="5" customWidth="1"/>
    <col min="63" max="65" width="13.5703125" style="5" customWidth="1"/>
    <col min="66" max="16384" width="8.85546875" style="5"/>
  </cols>
  <sheetData>
    <row r="1" spans="1:65" s="31" customFormat="1" ht="24.75" customHeight="1">
      <c r="A1" s="29"/>
      <c r="B1" s="30"/>
      <c r="C1" s="23" t="s">
        <v>129</v>
      </c>
      <c r="D1" s="23"/>
      <c r="E1" s="23"/>
      <c r="F1" s="23"/>
      <c r="G1" s="23"/>
      <c r="H1" s="23"/>
      <c r="I1" s="23" t="str">
        <f>C1</f>
        <v>Table B1: ENROLMENT IN SCHOOL EDUCATION</v>
      </c>
      <c r="J1" s="23"/>
      <c r="K1" s="23"/>
      <c r="L1" s="23"/>
      <c r="M1" s="23"/>
      <c r="N1" s="23"/>
      <c r="O1" s="23" t="str">
        <f>I1</f>
        <v>Table B1: ENROLMENT IN SCHOOL EDUCATION</v>
      </c>
      <c r="P1" s="23"/>
      <c r="Q1" s="23"/>
      <c r="R1" s="23"/>
      <c r="S1" s="23"/>
      <c r="T1" s="23"/>
      <c r="U1" s="23" t="str">
        <f>O1</f>
        <v>Table B1: ENROLMENT IN SCHOOL EDUCATION</v>
      </c>
      <c r="V1" s="23"/>
      <c r="W1" s="23"/>
      <c r="X1" s="23"/>
      <c r="Y1" s="23"/>
      <c r="Z1" s="23"/>
      <c r="AA1" s="23" t="str">
        <f>U1</f>
        <v>Table B1: ENROLMENT IN SCHOOL EDUCATION</v>
      </c>
      <c r="AB1" s="23"/>
      <c r="AC1" s="23"/>
      <c r="AD1" s="23"/>
      <c r="AE1" s="23"/>
      <c r="AF1" s="23"/>
      <c r="AG1" s="23" t="str">
        <f>AA1</f>
        <v>Table B1: ENROLMENT IN SCHOOL EDUCATION</v>
      </c>
      <c r="AH1" s="23"/>
      <c r="AI1" s="23"/>
      <c r="AJ1" s="23"/>
      <c r="AK1" s="23"/>
      <c r="AL1" s="23"/>
      <c r="AM1" s="23" t="str">
        <f>AG1</f>
        <v>Table B1: ENROLMENT IN SCHOOL EDUCATION</v>
      </c>
      <c r="AN1" s="23"/>
      <c r="AO1" s="23"/>
      <c r="AP1" s="23"/>
      <c r="AQ1" s="23"/>
      <c r="AR1" s="23"/>
      <c r="AS1" s="23" t="str">
        <f>AM1</f>
        <v>Table B1: ENROLMENT IN SCHOOL EDUCATION</v>
      </c>
      <c r="AT1" s="23"/>
      <c r="AU1" s="23"/>
      <c r="AV1" s="23"/>
      <c r="AW1" s="23"/>
      <c r="AX1" s="23"/>
      <c r="AY1" s="23" t="str">
        <f>AS1</f>
        <v>Table B1: ENROLMENT IN SCHOOL EDUCATION</v>
      </c>
      <c r="AZ1" s="23"/>
      <c r="BA1" s="23"/>
      <c r="BB1" s="23"/>
      <c r="BC1" s="23"/>
      <c r="BD1" s="23"/>
      <c r="BE1" s="23" t="str">
        <f>AY1</f>
        <v>Table B1: ENROLMENT IN SCHOOL EDUCATION</v>
      </c>
      <c r="BF1" s="23"/>
      <c r="BG1" s="23"/>
      <c r="BH1" s="23"/>
      <c r="BI1" s="23"/>
      <c r="BJ1" s="23"/>
      <c r="BK1" s="23"/>
      <c r="BL1" s="23"/>
      <c r="BM1" s="23"/>
    </row>
    <row r="2" spans="1:65" s="137" customFormat="1" ht="15.75" customHeight="1">
      <c r="C2" s="139" t="s">
        <v>81</v>
      </c>
      <c r="I2" s="139" t="str">
        <f>C2</f>
        <v>All Categories</v>
      </c>
      <c r="O2" s="139" t="str">
        <f>I2</f>
        <v>All Categories</v>
      </c>
      <c r="U2" s="139" t="str">
        <f>O2</f>
        <v>All Categories</v>
      </c>
      <c r="AA2" s="139" t="str">
        <f>U2</f>
        <v>All Categories</v>
      </c>
      <c r="AG2" s="139" t="str">
        <f>AA2</f>
        <v>All Categories</v>
      </c>
      <c r="AH2" s="139"/>
      <c r="AI2" s="139"/>
      <c r="AJ2" s="139"/>
      <c r="AK2" s="139"/>
      <c r="AL2" s="139"/>
      <c r="AM2" s="139" t="str">
        <f>AG2</f>
        <v>All Categories</v>
      </c>
      <c r="AN2" s="139"/>
      <c r="AO2" s="139"/>
      <c r="AP2" s="139"/>
      <c r="AQ2" s="139"/>
      <c r="AR2" s="139"/>
      <c r="AS2" s="139" t="str">
        <f>AM2</f>
        <v>All Categories</v>
      </c>
      <c r="AT2" s="139"/>
      <c r="AU2" s="139"/>
      <c r="AV2" s="139"/>
      <c r="AW2" s="139"/>
      <c r="AX2" s="139"/>
      <c r="AY2" s="139" t="str">
        <f>AS2</f>
        <v>All Categories</v>
      </c>
      <c r="AZ2" s="139"/>
      <c r="BA2" s="139"/>
      <c r="BB2" s="139"/>
      <c r="BC2" s="139"/>
      <c r="BD2" s="139"/>
      <c r="BE2" s="139" t="str">
        <f>AY2</f>
        <v>All Categories</v>
      </c>
      <c r="BF2" s="139"/>
      <c r="BG2" s="139"/>
      <c r="BH2" s="139"/>
      <c r="BI2" s="139"/>
      <c r="BJ2" s="139"/>
    </row>
    <row r="3" spans="1:65" s="11" customFormat="1" ht="32.25" customHeight="1">
      <c r="A3" s="283" t="s">
        <v>67</v>
      </c>
      <c r="B3" s="283" t="s">
        <v>65</v>
      </c>
      <c r="C3" s="285" t="s">
        <v>0</v>
      </c>
      <c r="D3" s="285"/>
      <c r="E3" s="285"/>
      <c r="F3" s="285" t="s">
        <v>1</v>
      </c>
      <c r="G3" s="285"/>
      <c r="H3" s="285"/>
      <c r="I3" s="285" t="s">
        <v>2</v>
      </c>
      <c r="J3" s="285"/>
      <c r="K3" s="285"/>
      <c r="L3" s="285" t="s">
        <v>3</v>
      </c>
      <c r="M3" s="285"/>
      <c r="N3" s="285"/>
      <c r="O3" s="285" t="s">
        <v>4</v>
      </c>
      <c r="P3" s="285"/>
      <c r="Q3" s="285"/>
      <c r="R3" s="285" t="s">
        <v>5</v>
      </c>
      <c r="S3" s="285"/>
      <c r="T3" s="285"/>
      <c r="U3" s="283" t="s">
        <v>82</v>
      </c>
      <c r="V3" s="285"/>
      <c r="W3" s="285"/>
      <c r="X3" s="285" t="s">
        <v>6</v>
      </c>
      <c r="Y3" s="285"/>
      <c r="Z3" s="285"/>
      <c r="AA3" s="285" t="s">
        <v>7</v>
      </c>
      <c r="AB3" s="285"/>
      <c r="AC3" s="285"/>
      <c r="AD3" s="285" t="s">
        <v>8</v>
      </c>
      <c r="AE3" s="285"/>
      <c r="AF3" s="285"/>
      <c r="AG3" s="283" t="s">
        <v>83</v>
      </c>
      <c r="AH3" s="285"/>
      <c r="AI3" s="285"/>
      <c r="AJ3" s="283" t="s">
        <v>84</v>
      </c>
      <c r="AK3" s="285"/>
      <c r="AL3" s="285"/>
      <c r="AM3" s="285" t="s">
        <v>9</v>
      </c>
      <c r="AN3" s="285"/>
      <c r="AO3" s="285"/>
      <c r="AP3" s="285" t="s">
        <v>10</v>
      </c>
      <c r="AQ3" s="285"/>
      <c r="AR3" s="285"/>
      <c r="AS3" s="283" t="s">
        <v>85</v>
      </c>
      <c r="AT3" s="285"/>
      <c r="AU3" s="285"/>
      <c r="AV3" s="283" t="s">
        <v>86</v>
      </c>
      <c r="AW3" s="285"/>
      <c r="AX3" s="285"/>
      <c r="AY3" s="285" t="s">
        <v>11</v>
      </c>
      <c r="AZ3" s="285"/>
      <c r="BA3" s="285"/>
      <c r="BB3" s="285" t="s">
        <v>12</v>
      </c>
      <c r="BC3" s="285"/>
      <c r="BD3" s="285"/>
      <c r="BE3" s="283" t="s">
        <v>87</v>
      </c>
      <c r="BF3" s="283"/>
      <c r="BG3" s="283"/>
      <c r="BH3" s="283" t="s">
        <v>88</v>
      </c>
      <c r="BI3" s="283"/>
      <c r="BJ3" s="283"/>
      <c r="BK3" s="283" t="s">
        <v>128</v>
      </c>
      <c r="BL3" s="283"/>
      <c r="BM3" s="283"/>
    </row>
    <row r="4" spans="1:65" s="11" customFormat="1" ht="20.25" customHeight="1">
      <c r="A4" s="283"/>
      <c r="B4" s="283"/>
      <c r="C4" s="248" t="s">
        <v>13</v>
      </c>
      <c r="D4" s="248" t="s">
        <v>14</v>
      </c>
      <c r="E4" s="248" t="s">
        <v>15</v>
      </c>
      <c r="F4" s="248" t="s">
        <v>13</v>
      </c>
      <c r="G4" s="248" t="s">
        <v>14</v>
      </c>
      <c r="H4" s="248" t="s">
        <v>15</v>
      </c>
      <c r="I4" s="248" t="s">
        <v>13</v>
      </c>
      <c r="J4" s="248" t="s">
        <v>14</v>
      </c>
      <c r="K4" s="248" t="s">
        <v>15</v>
      </c>
      <c r="L4" s="248" t="s">
        <v>13</v>
      </c>
      <c r="M4" s="248" t="s">
        <v>14</v>
      </c>
      <c r="N4" s="248" t="s">
        <v>15</v>
      </c>
      <c r="O4" s="248" t="s">
        <v>13</v>
      </c>
      <c r="P4" s="248" t="s">
        <v>14</v>
      </c>
      <c r="Q4" s="248" t="s">
        <v>15</v>
      </c>
      <c r="R4" s="248" t="s">
        <v>13</v>
      </c>
      <c r="S4" s="248" t="s">
        <v>14</v>
      </c>
      <c r="T4" s="248" t="s">
        <v>15</v>
      </c>
      <c r="U4" s="248" t="s">
        <v>13</v>
      </c>
      <c r="V4" s="248" t="s">
        <v>14</v>
      </c>
      <c r="W4" s="248" t="s">
        <v>15</v>
      </c>
      <c r="X4" s="248" t="s">
        <v>13</v>
      </c>
      <c r="Y4" s="248" t="s">
        <v>14</v>
      </c>
      <c r="Z4" s="248" t="s">
        <v>15</v>
      </c>
      <c r="AA4" s="248" t="s">
        <v>13</v>
      </c>
      <c r="AB4" s="248" t="s">
        <v>14</v>
      </c>
      <c r="AC4" s="248" t="s">
        <v>15</v>
      </c>
      <c r="AD4" s="248" t="s">
        <v>13</v>
      </c>
      <c r="AE4" s="248" t="s">
        <v>14</v>
      </c>
      <c r="AF4" s="248" t="s">
        <v>15</v>
      </c>
      <c r="AG4" s="248" t="s">
        <v>13</v>
      </c>
      <c r="AH4" s="248" t="s">
        <v>14</v>
      </c>
      <c r="AI4" s="248" t="s">
        <v>15</v>
      </c>
      <c r="AJ4" s="248" t="s">
        <v>13</v>
      </c>
      <c r="AK4" s="248" t="s">
        <v>14</v>
      </c>
      <c r="AL4" s="248" t="s">
        <v>15</v>
      </c>
      <c r="AM4" s="248" t="s">
        <v>13</v>
      </c>
      <c r="AN4" s="248" t="s">
        <v>14</v>
      </c>
      <c r="AO4" s="248" t="s">
        <v>15</v>
      </c>
      <c r="AP4" s="248" t="s">
        <v>13</v>
      </c>
      <c r="AQ4" s="248" t="s">
        <v>14</v>
      </c>
      <c r="AR4" s="248" t="s">
        <v>15</v>
      </c>
      <c r="AS4" s="248" t="s">
        <v>13</v>
      </c>
      <c r="AT4" s="248" t="s">
        <v>14</v>
      </c>
      <c r="AU4" s="248" t="s">
        <v>15</v>
      </c>
      <c r="AV4" s="248" t="s">
        <v>13</v>
      </c>
      <c r="AW4" s="248" t="s">
        <v>14</v>
      </c>
      <c r="AX4" s="248" t="s">
        <v>15</v>
      </c>
      <c r="AY4" s="248" t="s">
        <v>13</v>
      </c>
      <c r="AZ4" s="248" t="s">
        <v>14</v>
      </c>
      <c r="BA4" s="248" t="s">
        <v>15</v>
      </c>
      <c r="BB4" s="248" t="s">
        <v>13</v>
      </c>
      <c r="BC4" s="248" t="s">
        <v>14</v>
      </c>
      <c r="BD4" s="248" t="s">
        <v>15</v>
      </c>
      <c r="BE4" s="248" t="s">
        <v>13</v>
      </c>
      <c r="BF4" s="248" t="s">
        <v>14</v>
      </c>
      <c r="BG4" s="248" t="s">
        <v>15</v>
      </c>
      <c r="BH4" s="248" t="s">
        <v>13</v>
      </c>
      <c r="BI4" s="248" t="s">
        <v>14</v>
      </c>
      <c r="BJ4" s="248" t="s">
        <v>15</v>
      </c>
      <c r="BK4" s="248" t="s">
        <v>13</v>
      </c>
      <c r="BL4" s="248" t="s">
        <v>14</v>
      </c>
      <c r="BM4" s="248" t="s">
        <v>15</v>
      </c>
    </row>
    <row r="5" spans="1:65" s="250" customFormat="1" ht="13.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  <c r="AD5" s="22">
        <v>30</v>
      </c>
      <c r="AE5" s="22">
        <v>31</v>
      </c>
      <c r="AF5" s="22">
        <v>32</v>
      </c>
      <c r="AG5" s="22">
        <v>33</v>
      </c>
      <c r="AH5" s="22">
        <v>34</v>
      </c>
      <c r="AI5" s="22">
        <v>35</v>
      </c>
      <c r="AJ5" s="22">
        <v>36</v>
      </c>
      <c r="AK5" s="22">
        <v>37</v>
      </c>
      <c r="AL5" s="22">
        <v>38</v>
      </c>
      <c r="AM5" s="22">
        <v>39</v>
      </c>
      <c r="AN5" s="22">
        <v>40</v>
      </c>
      <c r="AO5" s="22">
        <v>41</v>
      </c>
      <c r="AP5" s="22">
        <v>42</v>
      </c>
      <c r="AQ5" s="22">
        <v>43</v>
      </c>
      <c r="AR5" s="22">
        <v>44</v>
      </c>
      <c r="AS5" s="22">
        <v>45</v>
      </c>
      <c r="AT5" s="22">
        <v>46</v>
      </c>
      <c r="AU5" s="22">
        <v>47</v>
      </c>
      <c r="AV5" s="22">
        <v>48</v>
      </c>
      <c r="AW5" s="22">
        <v>49</v>
      </c>
      <c r="AX5" s="22">
        <v>50</v>
      </c>
      <c r="AY5" s="22">
        <v>51</v>
      </c>
      <c r="AZ5" s="22">
        <v>52</v>
      </c>
      <c r="BA5" s="22">
        <v>53</v>
      </c>
      <c r="BB5" s="22">
        <v>54</v>
      </c>
      <c r="BC5" s="22">
        <v>55</v>
      </c>
      <c r="BD5" s="22">
        <v>56</v>
      </c>
      <c r="BE5" s="22">
        <v>57</v>
      </c>
      <c r="BF5" s="22">
        <v>58</v>
      </c>
      <c r="BG5" s="22">
        <v>59</v>
      </c>
      <c r="BH5" s="22">
        <v>60</v>
      </c>
      <c r="BI5" s="22">
        <v>61</v>
      </c>
      <c r="BJ5" s="22">
        <v>62</v>
      </c>
      <c r="BK5" s="136"/>
      <c r="BL5" s="136"/>
      <c r="BM5" s="136"/>
    </row>
    <row r="6" spans="1:65" ht="18.75" customHeight="1">
      <c r="A6" s="25">
        <v>1</v>
      </c>
      <c r="B6" s="26" t="s">
        <v>16</v>
      </c>
      <c r="C6" s="27">
        <v>229595</v>
      </c>
      <c r="D6" s="27">
        <v>180491</v>
      </c>
      <c r="E6" s="27">
        <f t="shared" ref="E6:E40" si="0">C6+D6</f>
        <v>410086</v>
      </c>
      <c r="F6" s="27">
        <v>785884</v>
      </c>
      <c r="G6" s="27">
        <v>737755</v>
      </c>
      <c r="H6" s="27">
        <f t="shared" ref="H6:H40" si="1">F6+G6</f>
        <v>1523639</v>
      </c>
      <c r="I6" s="27">
        <v>738031</v>
      </c>
      <c r="J6" s="27">
        <v>703559</v>
      </c>
      <c r="K6" s="27">
        <f t="shared" ref="K6:K40" si="2">I6+J6</f>
        <v>1441590</v>
      </c>
      <c r="L6" s="27">
        <v>723300</v>
      </c>
      <c r="M6" s="27">
        <v>696741</v>
      </c>
      <c r="N6" s="27">
        <f t="shared" ref="N6:N40" si="3">L6+M6</f>
        <v>1420041</v>
      </c>
      <c r="O6" s="27">
        <v>685491</v>
      </c>
      <c r="P6" s="27">
        <v>663101</v>
      </c>
      <c r="Q6" s="27">
        <f t="shared" ref="Q6:Q40" si="4">O6+P6</f>
        <v>1348592</v>
      </c>
      <c r="R6" s="27">
        <v>687987</v>
      </c>
      <c r="S6" s="27">
        <v>662718</v>
      </c>
      <c r="T6" s="27">
        <f t="shared" ref="T6:T40" si="5">R6+S6</f>
        <v>1350705</v>
      </c>
      <c r="U6" s="27">
        <f>F6+I6+L6+O6+R6</f>
        <v>3620693</v>
      </c>
      <c r="V6" s="27">
        <f>G6+J6+M6+P6+S6</f>
        <v>3463874</v>
      </c>
      <c r="W6" s="27">
        <f>U6+V6</f>
        <v>7084567</v>
      </c>
      <c r="X6" s="27">
        <v>661724</v>
      </c>
      <c r="Y6" s="27">
        <v>652412</v>
      </c>
      <c r="Z6" s="27">
        <f t="shared" ref="Z6:Z40" si="6">X6+Y6</f>
        <v>1314136</v>
      </c>
      <c r="AA6" s="27">
        <v>651294</v>
      </c>
      <c r="AB6" s="27">
        <v>640983</v>
      </c>
      <c r="AC6" s="27">
        <f t="shared" ref="AC6:AC40" si="7">AA6+AB6</f>
        <v>1292277</v>
      </c>
      <c r="AD6" s="27">
        <v>571733</v>
      </c>
      <c r="AE6" s="27">
        <v>556522</v>
      </c>
      <c r="AF6" s="27">
        <f t="shared" ref="AF6:AF40" si="8">AD6+AE6</f>
        <v>1128255</v>
      </c>
      <c r="AG6" s="27">
        <f>X6+AA6+AD6</f>
        <v>1884751</v>
      </c>
      <c r="AH6" s="27">
        <f>Y6+AB6+AE6</f>
        <v>1849917</v>
      </c>
      <c r="AI6" s="27">
        <f>AG6+AH6</f>
        <v>3734668</v>
      </c>
      <c r="AJ6" s="27">
        <f>U6+AG6</f>
        <v>5505444</v>
      </c>
      <c r="AK6" s="27">
        <f>V6+AH6</f>
        <v>5313791</v>
      </c>
      <c r="AL6" s="27">
        <f>AJ6+AK6</f>
        <v>10819235</v>
      </c>
      <c r="AM6" s="27">
        <v>552992</v>
      </c>
      <c r="AN6" s="27">
        <v>534924</v>
      </c>
      <c r="AO6" s="27">
        <f t="shared" ref="AO6:AO40" si="9">AM6+AN6</f>
        <v>1087916</v>
      </c>
      <c r="AP6" s="27">
        <v>533738</v>
      </c>
      <c r="AQ6" s="27">
        <v>517313</v>
      </c>
      <c r="AR6" s="27">
        <f t="shared" ref="AR6:AR40" si="10">AP6+AQ6</f>
        <v>1051051</v>
      </c>
      <c r="AS6" s="27">
        <f>AM6+AP6</f>
        <v>1086730</v>
      </c>
      <c r="AT6" s="27">
        <f>AN6+AQ6</f>
        <v>1052237</v>
      </c>
      <c r="AU6" s="27">
        <f>AS6+AT6</f>
        <v>2138967</v>
      </c>
      <c r="AV6" s="27">
        <f>U6+AG6+AS6</f>
        <v>6592174</v>
      </c>
      <c r="AW6" s="27">
        <f>V6+AH6+AT6</f>
        <v>6366028</v>
      </c>
      <c r="AX6" s="27">
        <f>AV6+AW6</f>
        <v>12958202</v>
      </c>
      <c r="AY6" s="27">
        <f>4919+460597</f>
        <v>465516</v>
      </c>
      <c r="AZ6" s="27">
        <f>7368+391179</f>
        <v>398547</v>
      </c>
      <c r="BA6" s="27">
        <f>AY6+AZ6</f>
        <v>864063</v>
      </c>
      <c r="BB6" s="27">
        <f>3850+381037</f>
        <v>384887</v>
      </c>
      <c r="BC6" s="27">
        <f>6499+327460</f>
        <v>333959</v>
      </c>
      <c r="BD6" s="27">
        <f t="shared" ref="BD6:BD40" si="11">BB6+BC6</f>
        <v>718846</v>
      </c>
      <c r="BE6" s="27">
        <f>AY6+BB6</f>
        <v>850403</v>
      </c>
      <c r="BF6" s="27">
        <f>AZ6+BC6</f>
        <v>732506</v>
      </c>
      <c r="BG6" s="27">
        <f>BE6+BF6</f>
        <v>1582909</v>
      </c>
      <c r="BH6" s="27">
        <f t="shared" ref="BH6:BI40" si="12">U6+AG6+AS6+BE6</f>
        <v>7442577</v>
      </c>
      <c r="BI6" s="27">
        <f t="shared" si="12"/>
        <v>7098534</v>
      </c>
      <c r="BJ6" s="27">
        <f>BH6+BI6</f>
        <v>14541111</v>
      </c>
      <c r="BK6" s="27">
        <f>C6+BH6</f>
        <v>7672172</v>
      </c>
      <c r="BL6" s="27">
        <f>D6+BI6</f>
        <v>7279025</v>
      </c>
      <c r="BM6" s="27">
        <f>BK6+BL6</f>
        <v>14951197</v>
      </c>
    </row>
    <row r="7" spans="1:65" ht="18.75" customHeight="1">
      <c r="A7" s="25">
        <v>2</v>
      </c>
      <c r="B7" s="26" t="s">
        <v>17</v>
      </c>
      <c r="C7" s="27">
        <v>17361</v>
      </c>
      <c r="D7" s="27">
        <v>14952</v>
      </c>
      <c r="E7" s="27">
        <f t="shared" si="0"/>
        <v>32313</v>
      </c>
      <c r="F7" s="27">
        <v>33084</v>
      </c>
      <c r="G7" s="27">
        <v>30887</v>
      </c>
      <c r="H7" s="27">
        <f t="shared" si="1"/>
        <v>63971</v>
      </c>
      <c r="I7" s="27">
        <v>26367</v>
      </c>
      <c r="J7" s="27">
        <v>24858</v>
      </c>
      <c r="K7" s="27">
        <f>I7+J7</f>
        <v>51225</v>
      </c>
      <c r="L7" s="27">
        <v>22963</v>
      </c>
      <c r="M7" s="27">
        <v>21445</v>
      </c>
      <c r="N7" s="27">
        <f t="shared" si="3"/>
        <v>44408</v>
      </c>
      <c r="O7" s="27">
        <v>20269</v>
      </c>
      <c r="P7" s="27">
        <v>19028</v>
      </c>
      <c r="Q7" s="27">
        <f t="shared" si="4"/>
        <v>39297</v>
      </c>
      <c r="R7" s="27">
        <v>19006</v>
      </c>
      <c r="S7" s="27">
        <v>17360</v>
      </c>
      <c r="T7" s="27">
        <f t="shared" si="5"/>
        <v>36366</v>
      </c>
      <c r="U7" s="27">
        <f t="shared" ref="U7:V40" si="13">F7+I7+L7+O7+R7</f>
        <v>121689</v>
      </c>
      <c r="V7" s="27">
        <f t="shared" si="13"/>
        <v>113578</v>
      </c>
      <c r="W7" s="27">
        <f t="shared" ref="W7:W40" si="14">U7+V7</f>
        <v>235267</v>
      </c>
      <c r="X7" s="27">
        <v>16585</v>
      </c>
      <c r="Y7" s="27">
        <v>15813</v>
      </c>
      <c r="Z7" s="27">
        <f t="shared" si="6"/>
        <v>32398</v>
      </c>
      <c r="AA7" s="27">
        <v>15147</v>
      </c>
      <c r="AB7" s="27">
        <v>14540</v>
      </c>
      <c r="AC7" s="27">
        <f t="shared" si="7"/>
        <v>29687</v>
      </c>
      <c r="AD7" s="27">
        <v>13683</v>
      </c>
      <c r="AE7" s="27">
        <v>13030</v>
      </c>
      <c r="AF7" s="27">
        <f t="shared" si="8"/>
        <v>26713</v>
      </c>
      <c r="AG7" s="27">
        <f t="shared" ref="AG7:AH40" si="15">X7+AA7+AD7</f>
        <v>45415</v>
      </c>
      <c r="AH7" s="27">
        <f t="shared" si="15"/>
        <v>43383</v>
      </c>
      <c r="AI7" s="27">
        <f t="shared" ref="AI7:AI40" si="16">AG7+AH7</f>
        <v>88798</v>
      </c>
      <c r="AJ7" s="27">
        <f t="shared" ref="AJ7:AK40" si="17">U7+AG7</f>
        <v>167104</v>
      </c>
      <c r="AK7" s="27">
        <f t="shared" si="17"/>
        <v>156961</v>
      </c>
      <c r="AL7" s="27">
        <f t="shared" ref="AL7:AL40" si="18">AJ7+AK7</f>
        <v>324065</v>
      </c>
      <c r="AM7" s="27">
        <v>11652</v>
      </c>
      <c r="AN7" s="27">
        <v>10515</v>
      </c>
      <c r="AO7" s="27">
        <f t="shared" si="9"/>
        <v>22167</v>
      </c>
      <c r="AP7" s="27">
        <v>9479</v>
      </c>
      <c r="AQ7" s="27">
        <v>8353</v>
      </c>
      <c r="AR7" s="27">
        <f t="shared" si="10"/>
        <v>17832</v>
      </c>
      <c r="AS7" s="27">
        <f t="shared" ref="AS7:AT40" si="19">AM7+AP7</f>
        <v>21131</v>
      </c>
      <c r="AT7" s="27">
        <f t="shared" si="19"/>
        <v>18868</v>
      </c>
      <c r="AU7" s="27">
        <f t="shared" ref="AU7:AU40" si="20">AS7+AT7</f>
        <v>39999</v>
      </c>
      <c r="AV7" s="27">
        <f t="shared" ref="AV7:AW40" si="21">U7+AG7+AS7</f>
        <v>188235</v>
      </c>
      <c r="AW7" s="27">
        <f t="shared" si="21"/>
        <v>175829</v>
      </c>
      <c r="AX7" s="27">
        <f t="shared" ref="AX7:AX40" si="22">AV7+AW7</f>
        <v>364064</v>
      </c>
      <c r="AY7" s="27">
        <v>8275</v>
      </c>
      <c r="AZ7" s="27">
        <v>7541</v>
      </c>
      <c r="BA7" s="27">
        <f>AY7+AZ7</f>
        <v>15816</v>
      </c>
      <c r="BB7" s="27">
        <v>6680</v>
      </c>
      <c r="BC7" s="27">
        <v>5832</v>
      </c>
      <c r="BD7" s="27">
        <f t="shared" si="11"/>
        <v>12512</v>
      </c>
      <c r="BE7" s="27">
        <f>AY7+BB7</f>
        <v>14955</v>
      </c>
      <c r="BF7" s="27">
        <f>AZ7+BC7</f>
        <v>13373</v>
      </c>
      <c r="BG7" s="27">
        <f>BE7+BF7</f>
        <v>28328</v>
      </c>
      <c r="BH7" s="27">
        <f t="shared" si="12"/>
        <v>203190</v>
      </c>
      <c r="BI7" s="27">
        <f t="shared" si="12"/>
        <v>189202</v>
      </c>
      <c r="BJ7" s="27">
        <f t="shared" ref="BJ7:BJ40" si="23">BH7+BI7</f>
        <v>392392</v>
      </c>
      <c r="BK7" s="27">
        <f t="shared" ref="BK7:BL40" si="24">C7+BH7</f>
        <v>220551</v>
      </c>
      <c r="BL7" s="27">
        <f t="shared" si="24"/>
        <v>204154</v>
      </c>
      <c r="BM7" s="27">
        <f t="shared" ref="BM7:BM40" si="25">BK7+BL7</f>
        <v>424705</v>
      </c>
    </row>
    <row r="8" spans="1:65" ht="18.75" customHeight="1">
      <c r="A8" s="25">
        <v>3</v>
      </c>
      <c r="B8" s="26" t="s">
        <v>48</v>
      </c>
      <c r="C8" s="27">
        <v>273779</v>
      </c>
      <c r="D8" s="27">
        <v>223736</v>
      </c>
      <c r="E8" s="27">
        <f t="shared" si="0"/>
        <v>497515</v>
      </c>
      <c r="F8" s="27">
        <v>369391</v>
      </c>
      <c r="G8" s="27">
        <v>358895</v>
      </c>
      <c r="H8" s="27">
        <f t="shared" si="1"/>
        <v>728286</v>
      </c>
      <c r="I8" s="27">
        <v>309241</v>
      </c>
      <c r="J8" s="27">
        <v>304354</v>
      </c>
      <c r="K8" s="27">
        <f>I8+J8</f>
        <v>613595</v>
      </c>
      <c r="L8" s="27">
        <v>281209</v>
      </c>
      <c r="M8" s="27">
        <v>278475</v>
      </c>
      <c r="N8" s="27">
        <f t="shared" si="3"/>
        <v>559684</v>
      </c>
      <c r="O8" s="27">
        <v>262122</v>
      </c>
      <c r="P8" s="27">
        <v>262375</v>
      </c>
      <c r="Q8" s="27">
        <f t="shared" si="4"/>
        <v>524497</v>
      </c>
      <c r="R8" s="27">
        <v>240677</v>
      </c>
      <c r="S8" s="27">
        <v>255975</v>
      </c>
      <c r="T8" s="27">
        <f t="shared" si="5"/>
        <v>496652</v>
      </c>
      <c r="U8" s="27">
        <f t="shared" si="13"/>
        <v>1462640</v>
      </c>
      <c r="V8" s="27">
        <f t="shared" si="13"/>
        <v>1460074</v>
      </c>
      <c r="W8" s="27">
        <f t="shared" si="14"/>
        <v>2922714</v>
      </c>
      <c r="X8" s="27">
        <v>230783</v>
      </c>
      <c r="Y8" s="27">
        <v>248342</v>
      </c>
      <c r="Z8" s="27">
        <f t="shared" si="6"/>
        <v>479125</v>
      </c>
      <c r="AA8" s="27">
        <v>223757</v>
      </c>
      <c r="AB8" s="27">
        <v>242311</v>
      </c>
      <c r="AC8" s="27">
        <f t="shared" si="7"/>
        <v>466068</v>
      </c>
      <c r="AD8" s="27">
        <v>222350</v>
      </c>
      <c r="AE8" s="27">
        <v>184119</v>
      </c>
      <c r="AF8" s="27">
        <f t="shared" si="8"/>
        <v>406469</v>
      </c>
      <c r="AG8" s="27">
        <f t="shared" si="15"/>
        <v>676890</v>
      </c>
      <c r="AH8" s="27">
        <f t="shared" si="15"/>
        <v>674772</v>
      </c>
      <c r="AI8" s="27">
        <f t="shared" si="16"/>
        <v>1351662</v>
      </c>
      <c r="AJ8" s="27">
        <f t="shared" si="17"/>
        <v>2139530</v>
      </c>
      <c r="AK8" s="27">
        <f t="shared" si="17"/>
        <v>2134846</v>
      </c>
      <c r="AL8" s="27">
        <f t="shared" si="18"/>
        <v>4274376</v>
      </c>
      <c r="AM8" s="27">
        <f>(30833+183838)</f>
        <v>214671</v>
      </c>
      <c r="AN8" s="27">
        <f>(35088+206575)</f>
        <v>241663</v>
      </c>
      <c r="AO8" s="27">
        <f t="shared" si="9"/>
        <v>456334</v>
      </c>
      <c r="AP8" s="27">
        <f>(21328+126022)</f>
        <v>147350</v>
      </c>
      <c r="AQ8" s="27">
        <f>(23215+134145)</f>
        <v>157360</v>
      </c>
      <c r="AR8" s="27">
        <f>AP8+AQ8</f>
        <v>304710</v>
      </c>
      <c r="AS8" s="27">
        <f t="shared" si="19"/>
        <v>362021</v>
      </c>
      <c r="AT8" s="27">
        <f t="shared" si="19"/>
        <v>399023</v>
      </c>
      <c r="AU8" s="27">
        <f t="shared" si="20"/>
        <v>761044</v>
      </c>
      <c r="AV8" s="27">
        <f t="shared" si="21"/>
        <v>2501551</v>
      </c>
      <c r="AW8" s="27">
        <f t="shared" si="21"/>
        <v>2533869</v>
      </c>
      <c r="AX8" s="27">
        <f t="shared" si="22"/>
        <v>5035420</v>
      </c>
      <c r="AY8" s="27">
        <f>(11583+31532)</f>
        <v>43115</v>
      </c>
      <c r="AZ8" s="27">
        <f>(10978+29458)</f>
        <v>40436</v>
      </c>
      <c r="BA8" s="27">
        <f t="shared" ref="BA8:BA40" si="26">AY8+AZ8</f>
        <v>83551</v>
      </c>
      <c r="BB8" s="27">
        <f>(8995+25296)</f>
        <v>34291</v>
      </c>
      <c r="BC8" s="27">
        <f>(9086+24545)</f>
        <v>33631</v>
      </c>
      <c r="BD8" s="27">
        <f t="shared" si="11"/>
        <v>67922</v>
      </c>
      <c r="BE8" s="27">
        <f t="shared" ref="BE8:BF40" si="27">AY8+BB8</f>
        <v>77406</v>
      </c>
      <c r="BF8" s="27">
        <f t="shared" si="27"/>
        <v>74067</v>
      </c>
      <c r="BG8" s="27">
        <f t="shared" ref="BG8:BG40" si="28">BE8+BF8</f>
        <v>151473</v>
      </c>
      <c r="BH8" s="27">
        <f t="shared" si="12"/>
        <v>2578957</v>
      </c>
      <c r="BI8" s="27">
        <f t="shared" si="12"/>
        <v>2607936</v>
      </c>
      <c r="BJ8" s="27">
        <f t="shared" si="23"/>
        <v>5186893</v>
      </c>
      <c r="BK8" s="27">
        <f t="shared" si="24"/>
        <v>2852736</v>
      </c>
      <c r="BL8" s="27">
        <f t="shared" si="24"/>
        <v>2831672</v>
      </c>
      <c r="BM8" s="27">
        <f t="shared" si="25"/>
        <v>5684408</v>
      </c>
    </row>
    <row r="9" spans="1:65" ht="18" customHeight="1">
      <c r="A9" s="25">
        <v>4</v>
      </c>
      <c r="B9" s="26" t="s">
        <v>18</v>
      </c>
      <c r="C9" s="27">
        <v>127</v>
      </c>
      <c r="D9" s="27">
        <v>98</v>
      </c>
      <c r="E9" s="27">
        <f t="shared" si="0"/>
        <v>225</v>
      </c>
      <c r="F9" s="27">
        <v>2086120</v>
      </c>
      <c r="G9" s="27">
        <v>1909328</v>
      </c>
      <c r="H9" s="27">
        <f t="shared" si="1"/>
        <v>3995448</v>
      </c>
      <c r="I9" s="27">
        <v>1767022</v>
      </c>
      <c r="J9" s="27">
        <v>1610326</v>
      </c>
      <c r="K9" s="27">
        <f t="shared" si="2"/>
        <v>3377348</v>
      </c>
      <c r="L9" s="27">
        <v>1631610</v>
      </c>
      <c r="M9" s="27">
        <v>1460919</v>
      </c>
      <c r="N9" s="27">
        <f t="shared" si="3"/>
        <v>3092529</v>
      </c>
      <c r="O9" s="27">
        <v>1451018</v>
      </c>
      <c r="P9" s="27">
        <v>1300089</v>
      </c>
      <c r="Q9" s="27">
        <f t="shared" si="4"/>
        <v>2751107</v>
      </c>
      <c r="R9" s="27">
        <v>1293975</v>
      </c>
      <c r="S9" s="27">
        <v>1140186</v>
      </c>
      <c r="T9" s="27">
        <f t="shared" si="5"/>
        <v>2434161</v>
      </c>
      <c r="U9" s="27">
        <f t="shared" si="13"/>
        <v>8229745</v>
      </c>
      <c r="V9" s="27">
        <f t="shared" si="13"/>
        <v>7420848</v>
      </c>
      <c r="W9" s="27">
        <f t="shared" si="14"/>
        <v>15650593</v>
      </c>
      <c r="X9" s="27">
        <v>997084</v>
      </c>
      <c r="Y9" s="27">
        <v>875771</v>
      </c>
      <c r="Z9" s="27">
        <f t="shared" si="6"/>
        <v>1872855</v>
      </c>
      <c r="AA9" s="27">
        <v>895621</v>
      </c>
      <c r="AB9" s="27">
        <v>793225</v>
      </c>
      <c r="AC9" s="27">
        <f t="shared" si="7"/>
        <v>1688846</v>
      </c>
      <c r="AD9" s="27">
        <v>811048</v>
      </c>
      <c r="AE9" s="27">
        <v>682346</v>
      </c>
      <c r="AF9" s="27">
        <f t="shared" si="8"/>
        <v>1493394</v>
      </c>
      <c r="AG9" s="27">
        <f t="shared" si="15"/>
        <v>2703753</v>
      </c>
      <c r="AH9" s="27">
        <f t="shared" si="15"/>
        <v>2351342</v>
      </c>
      <c r="AI9" s="27">
        <f t="shared" si="16"/>
        <v>5055095</v>
      </c>
      <c r="AJ9" s="27">
        <f t="shared" si="17"/>
        <v>10933498</v>
      </c>
      <c r="AK9" s="27">
        <f t="shared" si="17"/>
        <v>9772190</v>
      </c>
      <c r="AL9" s="27">
        <f t="shared" si="18"/>
        <v>20705688</v>
      </c>
      <c r="AM9" s="27">
        <v>670267</v>
      </c>
      <c r="AN9" s="27">
        <v>537165</v>
      </c>
      <c r="AO9" s="27">
        <f t="shared" si="9"/>
        <v>1207432</v>
      </c>
      <c r="AP9" s="27">
        <v>584065</v>
      </c>
      <c r="AQ9" s="27">
        <v>453307</v>
      </c>
      <c r="AR9" s="27">
        <f t="shared" si="10"/>
        <v>1037372</v>
      </c>
      <c r="AS9" s="27">
        <f t="shared" si="19"/>
        <v>1254332</v>
      </c>
      <c r="AT9" s="27">
        <f t="shared" si="19"/>
        <v>990472</v>
      </c>
      <c r="AU9" s="27">
        <f t="shared" si="20"/>
        <v>2244804</v>
      </c>
      <c r="AV9" s="27">
        <f t="shared" si="21"/>
        <v>12187830</v>
      </c>
      <c r="AW9" s="27">
        <f t="shared" si="21"/>
        <v>10762662</v>
      </c>
      <c r="AX9" s="27">
        <f t="shared" si="22"/>
        <v>22950492</v>
      </c>
      <c r="AY9" s="27">
        <f>271407+135817</f>
        <v>407224</v>
      </c>
      <c r="AZ9" s="27">
        <f>196007+98085</f>
        <v>294092</v>
      </c>
      <c r="BA9" s="27">
        <f t="shared" si="26"/>
        <v>701316</v>
      </c>
      <c r="BB9" s="27">
        <f>205210+104720</f>
        <v>309930</v>
      </c>
      <c r="BC9" s="27">
        <f>138892+70877</f>
        <v>209769</v>
      </c>
      <c r="BD9" s="27">
        <f t="shared" si="11"/>
        <v>519699</v>
      </c>
      <c r="BE9" s="27">
        <f t="shared" si="27"/>
        <v>717154</v>
      </c>
      <c r="BF9" s="27">
        <f t="shared" si="27"/>
        <v>503861</v>
      </c>
      <c r="BG9" s="27">
        <f t="shared" si="28"/>
        <v>1221015</v>
      </c>
      <c r="BH9" s="27">
        <f t="shared" si="12"/>
        <v>12904984</v>
      </c>
      <c r="BI9" s="27">
        <f t="shared" si="12"/>
        <v>11266523</v>
      </c>
      <c r="BJ9" s="27">
        <f t="shared" si="23"/>
        <v>24171507</v>
      </c>
      <c r="BK9" s="27">
        <f t="shared" si="24"/>
        <v>12905111</v>
      </c>
      <c r="BL9" s="27">
        <f t="shared" si="24"/>
        <v>11266621</v>
      </c>
      <c r="BM9" s="27">
        <f t="shared" si="25"/>
        <v>24171732</v>
      </c>
    </row>
    <row r="10" spans="1:65" ht="18.75" customHeight="1">
      <c r="A10" s="25">
        <v>5</v>
      </c>
      <c r="B10" s="28" t="s">
        <v>19</v>
      </c>
      <c r="C10" s="27">
        <v>52465</v>
      </c>
      <c r="D10" s="27">
        <v>40330</v>
      </c>
      <c r="E10" s="27">
        <f t="shared" si="0"/>
        <v>92795</v>
      </c>
      <c r="F10" s="27">
        <v>372499</v>
      </c>
      <c r="G10" s="27">
        <v>347805</v>
      </c>
      <c r="H10" s="27">
        <f t="shared" si="1"/>
        <v>720304</v>
      </c>
      <c r="I10" s="27">
        <v>355590</v>
      </c>
      <c r="J10" s="27">
        <v>332990</v>
      </c>
      <c r="K10" s="27">
        <f t="shared" si="2"/>
        <v>688580</v>
      </c>
      <c r="L10" s="27">
        <v>329275</v>
      </c>
      <c r="M10" s="27">
        <v>307115</v>
      </c>
      <c r="N10" s="27">
        <f t="shared" si="3"/>
        <v>636390</v>
      </c>
      <c r="O10" s="27">
        <v>313246</v>
      </c>
      <c r="P10" s="27">
        <v>293594</v>
      </c>
      <c r="Q10" s="27">
        <f t="shared" si="4"/>
        <v>606840</v>
      </c>
      <c r="R10" s="27">
        <v>301840</v>
      </c>
      <c r="S10" s="27">
        <v>284874</v>
      </c>
      <c r="T10" s="27">
        <f t="shared" si="5"/>
        <v>586714</v>
      </c>
      <c r="U10" s="27">
        <f t="shared" si="13"/>
        <v>1672450</v>
      </c>
      <c r="V10" s="27">
        <f t="shared" si="13"/>
        <v>1566378</v>
      </c>
      <c r="W10" s="27">
        <f t="shared" si="14"/>
        <v>3238828</v>
      </c>
      <c r="X10" s="27">
        <v>282485</v>
      </c>
      <c r="Y10" s="27">
        <v>262217</v>
      </c>
      <c r="Z10" s="27">
        <f t="shared" si="6"/>
        <v>544702</v>
      </c>
      <c r="AA10" s="27">
        <v>257965</v>
      </c>
      <c r="AB10" s="27">
        <v>239700</v>
      </c>
      <c r="AC10" s="27">
        <f t="shared" si="7"/>
        <v>497665</v>
      </c>
      <c r="AD10" s="27">
        <v>238241</v>
      </c>
      <c r="AE10" s="27">
        <v>222506</v>
      </c>
      <c r="AF10" s="27">
        <f t="shared" si="8"/>
        <v>460747</v>
      </c>
      <c r="AG10" s="27">
        <f t="shared" si="15"/>
        <v>778691</v>
      </c>
      <c r="AH10" s="27">
        <f t="shared" si="15"/>
        <v>724423</v>
      </c>
      <c r="AI10" s="27">
        <f t="shared" si="16"/>
        <v>1503114</v>
      </c>
      <c r="AJ10" s="27">
        <f t="shared" si="17"/>
        <v>2451141</v>
      </c>
      <c r="AK10" s="27">
        <f t="shared" si="17"/>
        <v>2290801</v>
      </c>
      <c r="AL10" s="27">
        <f t="shared" si="18"/>
        <v>4741942</v>
      </c>
      <c r="AM10" s="27">
        <v>199206</v>
      </c>
      <c r="AN10" s="27">
        <v>183861</v>
      </c>
      <c r="AO10" s="27">
        <f t="shared" si="9"/>
        <v>383067</v>
      </c>
      <c r="AP10" s="27">
        <v>173595</v>
      </c>
      <c r="AQ10" s="27">
        <v>162812</v>
      </c>
      <c r="AR10" s="27">
        <f t="shared" si="10"/>
        <v>336407</v>
      </c>
      <c r="AS10" s="27">
        <f t="shared" si="19"/>
        <v>372801</v>
      </c>
      <c r="AT10" s="27">
        <f t="shared" si="19"/>
        <v>346673</v>
      </c>
      <c r="AU10" s="27">
        <f t="shared" si="20"/>
        <v>719474</v>
      </c>
      <c r="AV10" s="27">
        <f t="shared" si="21"/>
        <v>2823942</v>
      </c>
      <c r="AW10" s="27">
        <f t="shared" si="21"/>
        <v>2637474</v>
      </c>
      <c r="AX10" s="27">
        <f t="shared" si="22"/>
        <v>5461416</v>
      </c>
      <c r="AY10" s="27">
        <v>103234</v>
      </c>
      <c r="AZ10" s="27">
        <v>91620</v>
      </c>
      <c r="BA10" s="27">
        <f t="shared" si="26"/>
        <v>194854</v>
      </c>
      <c r="BB10" s="27">
        <v>100146</v>
      </c>
      <c r="BC10" s="27">
        <v>81044</v>
      </c>
      <c r="BD10" s="27">
        <f t="shared" si="11"/>
        <v>181190</v>
      </c>
      <c r="BE10" s="27">
        <f t="shared" si="27"/>
        <v>203380</v>
      </c>
      <c r="BF10" s="27">
        <f t="shared" si="27"/>
        <v>172664</v>
      </c>
      <c r="BG10" s="27">
        <f t="shared" si="28"/>
        <v>376044</v>
      </c>
      <c r="BH10" s="27">
        <f t="shared" si="12"/>
        <v>3027322</v>
      </c>
      <c r="BI10" s="27">
        <f t="shared" si="12"/>
        <v>2810138</v>
      </c>
      <c r="BJ10" s="27">
        <f t="shared" si="23"/>
        <v>5837460</v>
      </c>
      <c r="BK10" s="27">
        <f t="shared" si="24"/>
        <v>3079787</v>
      </c>
      <c r="BL10" s="27">
        <f t="shared" si="24"/>
        <v>2850468</v>
      </c>
      <c r="BM10" s="27">
        <f t="shared" si="25"/>
        <v>5930255</v>
      </c>
    </row>
    <row r="11" spans="1:65" ht="18.75" customHeight="1">
      <c r="A11" s="25">
        <v>6</v>
      </c>
      <c r="B11" s="26" t="s">
        <v>20</v>
      </c>
      <c r="C11" s="27"/>
      <c r="D11" s="27"/>
      <c r="E11" s="27"/>
      <c r="F11" s="27">
        <v>13450</v>
      </c>
      <c r="G11" s="27">
        <v>12198</v>
      </c>
      <c r="H11" s="27">
        <f t="shared" si="1"/>
        <v>25648</v>
      </c>
      <c r="I11" s="27">
        <v>13180</v>
      </c>
      <c r="J11" s="27">
        <v>12154</v>
      </c>
      <c r="K11" s="27">
        <f t="shared" si="2"/>
        <v>25334</v>
      </c>
      <c r="L11" s="27">
        <v>12836</v>
      </c>
      <c r="M11" s="27">
        <v>11618</v>
      </c>
      <c r="N11" s="27">
        <f t="shared" si="3"/>
        <v>24454</v>
      </c>
      <c r="O11" s="27">
        <v>12950</v>
      </c>
      <c r="P11" s="27">
        <v>11820</v>
      </c>
      <c r="Q11" s="27">
        <f t="shared" si="4"/>
        <v>24770</v>
      </c>
      <c r="R11" s="27">
        <v>12780</v>
      </c>
      <c r="S11" s="27">
        <v>11742</v>
      </c>
      <c r="T11" s="27">
        <f t="shared" si="5"/>
        <v>24522</v>
      </c>
      <c r="U11" s="27">
        <f t="shared" si="13"/>
        <v>65196</v>
      </c>
      <c r="V11" s="27">
        <f t="shared" si="13"/>
        <v>59532</v>
      </c>
      <c r="W11" s="27">
        <f t="shared" si="14"/>
        <v>124728</v>
      </c>
      <c r="X11" s="27">
        <v>14472</v>
      </c>
      <c r="Y11" s="27">
        <v>12527</v>
      </c>
      <c r="Z11" s="27">
        <f t="shared" si="6"/>
        <v>26999</v>
      </c>
      <c r="AA11" s="27">
        <v>12928</v>
      </c>
      <c r="AB11" s="27">
        <v>11414</v>
      </c>
      <c r="AC11" s="27">
        <f t="shared" si="7"/>
        <v>24342</v>
      </c>
      <c r="AD11" s="27">
        <v>11950</v>
      </c>
      <c r="AE11" s="27">
        <v>10634</v>
      </c>
      <c r="AF11" s="27">
        <f t="shared" si="8"/>
        <v>22584</v>
      </c>
      <c r="AG11" s="27">
        <f t="shared" si="15"/>
        <v>39350</v>
      </c>
      <c r="AH11" s="27">
        <f t="shared" si="15"/>
        <v>34575</v>
      </c>
      <c r="AI11" s="27">
        <f t="shared" si="16"/>
        <v>73925</v>
      </c>
      <c r="AJ11" s="27">
        <f t="shared" si="17"/>
        <v>104546</v>
      </c>
      <c r="AK11" s="27">
        <f t="shared" si="17"/>
        <v>94107</v>
      </c>
      <c r="AL11" s="27">
        <f t="shared" si="18"/>
        <v>198653</v>
      </c>
      <c r="AM11" s="27">
        <v>13533</v>
      </c>
      <c r="AN11" s="27">
        <v>11909</v>
      </c>
      <c r="AO11" s="27">
        <f t="shared" si="9"/>
        <v>25442</v>
      </c>
      <c r="AP11" s="27">
        <v>7867</v>
      </c>
      <c r="AQ11" s="27">
        <v>7162</v>
      </c>
      <c r="AR11" s="27">
        <f t="shared" si="10"/>
        <v>15029</v>
      </c>
      <c r="AS11" s="27">
        <f t="shared" si="19"/>
        <v>21400</v>
      </c>
      <c r="AT11" s="27">
        <f t="shared" si="19"/>
        <v>19071</v>
      </c>
      <c r="AU11" s="27">
        <f t="shared" si="20"/>
        <v>40471</v>
      </c>
      <c r="AV11" s="27">
        <f t="shared" si="21"/>
        <v>125946</v>
      </c>
      <c r="AW11" s="27">
        <f t="shared" si="21"/>
        <v>113178</v>
      </c>
      <c r="AX11" s="27">
        <f t="shared" si="22"/>
        <v>239124</v>
      </c>
      <c r="AY11" s="27">
        <v>8055</v>
      </c>
      <c r="AZ11" s="27">
        <v>7568</v>
      </c>
      <c r="BA11" s="27">
        <f t="shared" si="26"/>
        <v>15623</v>
      </c>
      <c r="BB11" s="27">
        <v>6970</v>
      </c>
      <c r="BC11" s="27">
        <v>7169</v>
      </c>
      <c r="BD11" s="27">
        <f t="shared" si="11"/>
        <v>14139</v>
      </c>
      <c r="BE11" s="27">
        <f t="shared" si="27"/>
        <v>15025</v>
      </c>
      <c r="BF11" s="27">
        <f t="shared" si="27"/>
        <v>14737</v>
      </c>
      <c r="BG11" s="27">
        <f t="shared" si="28"/>
        <v>29762</v>
      </c>
      <c r="BH11" s="27">
        <f t="shared" si="12"/>
        <v>140971</v>
      </c>
      <c r="BI11" s="27">
        <f t="shared" si="12"/>
        <v>127915</v>
      </c>
      <c r="BJ11" s="27">
        <f t="shared" si="23"/>
        <v>268886</v>
      </c>
      <c r="BK11" s="27">
        <f t="shared" si="24"/>
        <v>140971</v>
      </c>
      <c r="BL11" s="27">
        <f t="shared" si="24"/>
        <v>127915</v>
      </c>
      <c r="BM11" s="27">
        <f t="shared" si="25"/>
        <v>268886</v>
      </c>
    </row>
    <row r="12" spans="1:65" ht="18.75" customHeight="1">
      <c r="A12" s="25">
        <v>7</v>
      </c>
      <c r="B12" s="26" t="s">
        <v>21</v>
      </c>
      <c r="C12" s="27"/>
      <c r="D12" s="27"/>
      <c r="E12" s="27"/>
      <c r="F12" s="27">
        <v>754294</v>
      </c>
      <c r="G12" s="27">
        <v>644972</v>
      </c>
      <c r="H12" s="27">
        <f t="shared" si="1"/>
        <v>1399266</v>
      </c>
      <c r="I12" s="27">
        <v>716535</v>
      </c>
      <c r="J12" s="27">
        <v>621864</v>
      </c>
      <c r="K12" s="27">
        <f t="shared" si="2"/>
        <v>1338399</v>
      </c>
      <c r="L12" s="27">
        <v>721476</v>
      </c>
      <c r="M12" s="27">
        <v>629877</v>
      </c>
      <c r="N12" s="27">
        <f t="shared" si="3"/>
        <v>1351353</v>
      </c>
      <c r="O12" s="27">
        <v>693711</v>
      </c>
      <c r="P12" s="27">
        <v>622815</v>
      </c>
      <c r="Q12" s="27">
        <f t="shared" si="4"/>
        <v>1316526</v>
      </c>
      <c r="R12" s="27">
        <v>629377</v>
      </c>
      <c r="S12" s="27">
        <v>547218</v>
      </c>
      <c r="T12" s="27">
        <f t="shared" si="5"/>
        <v>1176595</v>
      </c>
      <c r="U12" s="27">
        <f t="shared" si="13"/>
        <v>3515393</v>
      </c>
      <c r="V12" s="27">
        <f t="shared" si="13"/>
        <v>3066746</v>
      </c>
      <c r="W12" s="27">
        <f t="shared" si="14"/>
        <v>6582139</v>
      </c>
      <c r="X12" s="27">
        <v>567058</v>
      </c>
      <c r="Y12" s="27">
        <v>494404</v>
      </c>
      <c r="Z12" s="27">
        <f t="shared" si="6"/>
        <v>1061462</v>
      </c>
      <c r="AA12" s="27">
        <v>514240</v>
      </c>
      <c r="AB12" s="27">
        <v>443496</v>
      </c>
      <c r="AC12" s="27">
        <f t="shared" si="7"/>
        <v>957736</v>
      </c>
      <c r="AD12" s="27">
        <v>496460</v>
      </c>
      <c r="AE12" s="27">
        <v>346537</v>
      </c>
      <c r="AF12" s="27">
        <f>AD12+AE12</f>
        <v>842997</v>
      </c>
      <c r="AG12" s="27">
        <f t="shared" si="15"/>
        <v>1577758</v>
      </c>
      <c r="AH12" s="27">
        <f t="shared" si="15"/>
        <v>1284437</v>
      </c>
      <c r="AI12" s="27">
        <f t="shared" si="16"/>
        <v>2862195</v>
      </c>
      <c r="AJ12" s="27">
        <f t="shared" si="17"/>
        <v>5093151</v>
      </c>
      <c r="AK12" s="27">
        <f t="shared" si="17"/>
        <v>4351183</v>
      </c>
      <c r="AL12" s="27">
        <f t="shared" si="18"/>
        <v>9444334</v>
      </c>
      <c r="AM12" s="27">
        <v>449279</v>
      </c>
      <c r="AN12" s="27">
        <v>316592</v>
      </c>
      <c r="AO12" s="27">
        <f>AM12+AN12</f>
        <v>765871</v>
      </c>
      <c r="AP12" s="27">
        <v>386491</v>
      </c>
      <c r="AQ12" s="27">
        <v>277338</v>
      </c>
      <c r="AR12" s="27">
        <f>AP12+AQ12</f>
        <v>663829</v>
      </c>
      <c r="AS12" s="27">
        <f t="shared" si="19"/>
        <v>835770</v>
      </c>
      <c r="AT12" s="27">
        <f t="shared" si="19"/>
        <v>593930</v>
      </c>
      <c r="AU12" s="27">
        <f t="shared" si="20"/>
        <v>1429700</v>
      </c>
      <c r="AV12" s="27">
        <f t="shared" si="21"/>
        <v>5928921</v>
      </c>
      <c r="AW12" s="27">
        <f t="shared" si="21"/>
        <v>4945113</v>
      </c>
      <c r="AX12" s="27">
        <f t="shared" si="22"/>
        <v>10874034</v>
      </c>
      <c r="AY12" s="27">
        <v>268016</v>
      </c>
      <c r="AZ12" s="27">
        <v>188457</v>
      </c>
      <c r="BA12" s="27">
        <f>AY12+AZ12</f>
        <v>456473</v>
      </c>
      <c r="BB12" s="27">
        <v>220060</v>
      </c>
      <c r="BC12" s="27">
        <v>160032</v>
      </c>
      <c r="BD12" s="27">
        <f>BB12+BC12</f>
        <v>380092</v>
      </c>
      <c r="BE12" s="27">
        <f t="shared" si="27"/>
        <v>488076</v>
      </c>
      <c r="BF12" s="27">
        <f t="shared" si="27"/>
        <v>348489</v>
      </c>
      <c r="BG12" s="27">
        <f t="shared" si="28"/>
        <v>836565</v>
      </c>
      <c r="BH12" s="27">
        <f t="shared" si="12"/>
        <v>6416997</v>
      </c>
      <c r="BI12" s="27">
        <f t="shared" si="12"/>
        <v>5293602</v>
      </c>
      <c r="BJ12" s="27">
        <f t="shared" si="23"/>
        <v>11710599</v>
      </c>
      <c r="BK12" s="27">
        <f t="shared" si="24"/>
        <v>6416997</v>
      </c>
      <c r="BL12" s="27">
        <f t="shared" si="24"/>
        <v>5293602</v>
      </c>
      <c r="BM12" s="27">
        <f t="shared" si="25"/>
        <v>11710599</v>
      </c>
    </row>
    <row r="13" spans="1:65" ht="18.75" customHeight="1">
      <c r="A13" s="25">
        <v>8</v>
      </c>
      <c r="B13" s="26" t="s">
        <v>22</v>
      </c>
      <c r="C13" s="27">
        <v>70410</v>
      </c>
      <c r="D13" s="27">
        <v>61345</v>
      </c>
      <c r="E13" s="27">
        <f t="shared" si="0"/>
        <v>131755</v>
      </c>
      <c r="F13" s="27">
        <v>231593</v>
      </c>
      <c r="G13" s="27">
        <v>204949</v>
      </c>
      <c r="H13" s="27">
        <f t="shared" si="1"/>
        <v>436542</v>
      </c>
      <c r="I13" s="27">
        <v>249734</v>
      </c>
      <c r="J13" s="27">
        <v>224743</v>
      </c>
      <c r="K13" s="27">
        <f t="shared" si="2"/>
        <v>474477</v>
      </c>
      <c r="L13" s="27">
        <v>248205</v>
      </c>
      <c r="M13" s="27">
        <v>225815</v>
      </c>
      <c r="N13" s="27">
        <f t="shared" si="3"/>
        <v>474020</v>
      </c>
      <c r="O13" s="27">
        <v>242056</v>
      </c>
      <c r="P13" s="27">
        <v>217192</v>
      </c>
      <c r="Q13" s="27">
        <f t="shared" si="4"/>
        <v>459248</v>
      </c>
      <c r="R13" s="27">
        <v>235033</v>
      </c>
      <c r="S13" s="27">
        <v>204935</v>
      </c>
      <c r="T13" s="27">
        <f t="shared" si="5"/>
        <v>439968</v>
      </c>
      <c r="U13" s="27">
        <f t="shared" si="13"/>
        <v>1206621</v>
      </c>
      <c r="V13" s="27">
        <f t="shared" si="13"/>
        <v>1077634</v>
      </c>
      <c r="W13" s="27">
        <f t="shared" si="14"/>
        <v>2284255</v>
      </c>
      <c r="X13" s="27">
        <v>222584</v>
      </c>
      <c r="Y13" s="27">
        <v>196880</v>
      </c>
      <c r="Z13" s="27">
        <f t="shared" si="6"/>
        <v>419464</v>
      </c>
      <c r="AA13" s="27">
        <v>217730</v>
      </c>
      <c r="AB13" s="27">
        <v>192435</v>
      </c>
      <c r="AC13" s="27">
        <f t="shared" si="7"/>
        <v>410165</v>
      </c>
      <c r="AD13" s="27">
        <v>223362</v>
      </c>
      <c r="AE13" s="27">
        <v>196786</v>
      </c>
      <c r="AF13" s="27">
        <f t="shared" ref="AF13" si="29">AD13+AE13</f>
        <v>420148</v>
      </c>
      <c r="AG13" s="27">
        <f t="shared" si="15"/>
        <v>663676</v>
      </c>
      <c r="AH13" s="27">
        <f t="shared" si="15"/>
        <v>586101</v>
      </c>
      <c r="AI13" s="27">
        <f t="shared" si="16"/>
        <v>1249777</v>
      </c>
      <c r="AJ13" s="27">
        <f t="shared" si="17"/>
        <v>1870297</v>
      </c>
      <c r="AK13" s="27">
        <f t="shared" si="17"/>
        <v>1663735</v>
      </c>
      <c r="AL13" s="27">
        <f t="shared" si="18"/>
        <v>3534032</v>
      </c>
      <c r="AM13" s="27">
        <v>204181</v>
      </c>
      <c r="AN13" s="27">
        <v>181187</v>
      </c>
      <c r="AO13" s="27">
        <f t="shared" ref="AO13" si="30">AM13+AN13</f>
        <v>385368</v>
      </c>
      <c r="AP13" s="27">
        <v>190381</v>
      </c>
      <c r="AQ13" s="27">
        <v>169276</v>
      </c>
      <c r="AR13" s="27">
        <f t="shared" ref="AR13" si="31">AP13+AQ13</f>
        <v>359657</v>
      </c>
      <c r="AS13" s="27">
        <f t="shared" si="19"/>
        <v>394562</v>
      </c>
      <c r="AT13" s="27">
        <f t="shared" si="19"/>
        <v>350463</v>
      </c>
      <c r="AU13" s="27">
        <f t="shared" si="20"/>
        <v>745025</v>
      </c>
      <c r="AV13" s="27">
        <f t="shared" si="21"/>
        <v>2264859</v>
      </c>
      <c r="AW13" s="27">
        <f t="shared" si="21"/>
        <v>2014198</v>
      </c>
      <c r="AX13" s="27">
        <f t="shared" si="22"/>
        <v>4279057</v>
      </c>
      <c r="AY13" s="27">
        <v>196413</v>
      </c>
      <c r="AZ13" s="27">
        <v>158135</v>
      </c>
      <c r="BA13" s="27">
        <f t="shared" ref="BA13" si="32">AY13+AZ13</f>
        <v>354548</v>
      </c>
      <c r="BB13" s="27">
        <v>178031</v>
      </c>
      <c r="BC13" s="27">
        <v>149119</v>
      </c>
      <c r="BD13" s="27">
        <f>BB13+BC13</f>
        <v>327150</v>
      </c>
      <c r="BE13" s="27">
        <f t="shared" si="27"/>
        <v>374444</v>
      </c>
      <c r="BF13" s="27">
        <f t="shared" si="27"/>
        <v>307254</v>
      </c>
      <c r="BG13" s="27">
        <f t="shared" si="28"/>
        <v>681698</v>
      </c>
      <c r="BH13" s="27">
        <f t="shared" si="12"/>
        <v>2639303</v>
      </c>
      <c r="BI13" s="27">
        <f t="shared" si="12"/>
        <v>2321452</v>
      </c>
      <c r="BJ13" s="27">
        <f t="shared" si="23"/>
        <v>4960755</v>
      </c>
      <c r="BK13" s="27">
        <f t="shared" si="24"/>
        <v>2709713</v>
      </c>
      <c r="BL13" s="27">
        <f t="shared" si="24"/>
        <v>2382797</v>
      </c>
      <c r="BM13" s="27">
        <f t="shared" si="25"/>
        <v>5092510</v>
      </c>
    </row>
    <row r="14" spans="1:65" ht="18.75" customHeight="1">
      <c r="A14" s="25">
        <v>9</v>
      </c>
      <c r="B14" s="26" t="s">
        <v>23</v>
      </c>
      <c r="C14" s="27">
        <v>40324</v>
      </c>
      <c r="D14" s="27">
        <v>35147</v>
      </c>
      <c r="E14" s="27">
        <f t="shared" si="0"/>
        <v>75471</v>
      </c>
      <c r="F14" s="27">
        <v>63200</v>
      </c>
      <c r="G14" s="27">
        <v>56849</v>
      </c>
      <c r="H14" s="27">
        <f t="shared" si="1"/>
        <v>120049</v>
      </c>
      <c r="I14" s="27">
        <v>65193</v>
      </c>
      <c r="J14" s="27">
        <v>59494</v>
      </c>
      <c r="K14" s="27">
        <f t="shared" si="2"/>
        <v>124687</v>
      </c>
      <c r="L14" s="27">
        <v>66352</v>
      </c>
      <c r="M14" s="27">
        <v>60459</v>
      </c>
      <c r="N14" s="27">
        <f t="shared" si="3"/>
        <v>126811</v>
      </c>
      <c r="O14" s="27">
        <v>64834</v>
      </c>
      <c r="P14" s="27">
        <v>58795</v>
      </c>
      <c r="Q14" s="27">
        <f t="shared" si="4"/>
        <v>123629</v>
      </c>
      <c r="R14" s="27">
        <v>65481</v>
      </c>
      <c r="S14" s="27">
        <v>58643</v>
      </c>
      <c r="T14" s="27">
        <f t="shared" si="5"/>
        <v>124124</v>
      </c>
      <c r="U14" s="27">
        <f t="shared" si="13"/>
        <v>325060</v>
      </c>
      <c r="V14" s="27">
        <f t="shared" si="13"/>
        <v>294240</v>
      </c>
      <c r="W14" s="27">
        <f t="shared" si="14"/>
        <v>619300</v>
      </c>
      <c r="X14" s="27">
        <v>66658</v>
      </c>
      <c r="Y14" s="27">
        <v>58297</v>
      </c>
      <c r="Z14" s="27">
        <f t="shared" si="6"/>
        <v>124955</v>
      </c>
      <c r="AA14" s="27">
        <v>67411</v>
      </c>
      <c r="AB14" s="27">
        <v>59223</v>
      </c>
      <c r="AC14" s="27">
        <f t="shared" si="7"/>
        <v>126634</v>
      </c>
      <c r="AD14" s="27">
        <v>71930</v>
      </c>
      <c r="AE14" s="27">
        <v>63123</v>
      </c>
      <c r="AF14" s="27">
        <f t="shared" si="8"/>
        <v>135053</v>
      </c>
      <c r="AG14" s="27">
        <f t="shared" si="15"/>
        <v>205999</v>
      </c>
      <c r="AH14" s="27">
        <f t="shared" si="15"/>
        <v>180643</v>
      </c>
      <c r="AI14" s="27">
        <f t="shared" si="16"/>
        <v>386642</v>
      </c>
      <c r="AJ14" s="27">
        <f t="shared" si="17"/>
        <v>531059</v>
      </c>
      <c r="AK14" s="27">
        <f t="shared" si="17"/>
        <v>474883</v>
      </c>
      <c r="AL14" s="27">
        <f t="shared" si="18"/>
        <v>1005942</v>
      </c>
      <c r="AM14" s="27">
        <v>77488</v>
      </c>
      <c r="AN14" s="27">
        <v>67733</v>
      </c>
      <c r="AO14" s="27">
        <f t="shared" si="9"/>
        <v>145221</v>
      </c>
      <c r="AP14" s="27">
        <v>73238</v>
      </c>
      <c r="AQ14" s="27">
        <v>67280</v>
      </c>
      <c r="AR14" s="27">
        <f t="shared" si="10"/>
        <v>140518</v>
      </c>
      <c r="AS14" s="27">
        <f t="shared" si="19"/>
        <v>150726</v>
      </c>
      <c r="AT14" s="27">
        <f t="shared" si="19"/>
        <v>135013</v>
      </c>
      <c r="AU14" s="27">
        <f t="shared" si="20"/>
        <v>285739</v>
      </c>
      <c r="AV14" s="27">
        <f t="shared" si="21"/>
        <v>681785</v>
      </c>
      <c r="AW14" s="27">
        <f t="shared" si="21"/>
        <v>609896</v>
      </c>
      <c r="AX14" s="27">
        <f t="shared" si="22"/>
        <v>1291681</v>
      </c>
      <c r="AY14" s="27">
        <v>61815</v>
      </c>
      <c r="AZ14" s="27">
        <v>55378</v>
      </c>
      <c r="BA14" s="27">
        <f t="shared" si="26"/>
        <v>117193</v>
      </c>
      <c r="BB14" s="27">
        <v>45798</v>
      </c>
      <c r="BC14" s="27">
        <v>42779</v>
      </c>
      <c r="BD14" s="27">
        <f t="shared" si="11"/>
        <v>88577</v>
      </c>
      <c r="BE14" s="27">
        <f t="shared" si="27"/>
        <v>107613</v>
      </c>
      <c r="BF14" s="27">
        <f t="shared" si="27"/>
        <v>98157</v>
      </c>
      <c r="BG14" s="27">
        <f t="shared" si="28"/>
        <v>205770</v>
      </c>
      <c r="BH14" s="27">
        <f t="shared" si="12"/>
        <v>789398</v>
      </c>
      <c r="BI14" s="27">
        <f t="shared" si="12"/>
        <v>708053</v>
      </c>
      <c r="BJ14" s="27">
        <f t="shared" si="23"/>
        <v>1497451</v>
      </c>
      <c r="BK14" s="27">
        <f t="shared" si="24"/>
        <v>829722</v>
      </c>
      <c r="BL14" s="27">
        <f t="shared" si="24"/>
        <v>743200</v>
      </c>
      <c r="BM14" s="27">
        <f t="shared" si="25"/>
        <v>1572922</v>
      </c>
    </row>
    <row r="15" spans="1:65" s="24" customFormat="1" ht="18.75" customHeight="1">
      <c r="A15" s="25">
        <v>10</v>
      </c>
      <c r="B15" s="26" t="s">
        <v>24</v>
      </c>
      <c r="C15" s="27">
        <v>92111</v>
      </c>
      <c r="D15" s="27">
        <v>80799</v>
      </c>
      <c r="E15" s="27">
        <f t="shared" si="0"/>
        <v>172910</v>
      </c>
      <c r="F15" s="27">
        <v>145444</v>
      </c>
      <c r="G15" s="27">
        <v>135246</v>
      </c>
      <c r="H15" s="27">
        <f t="shared" si="1"/>
        <v>280690</v>
      </c>
      <c r="I15" s="27">
        <v>133660</v>
      </c>
      <c r="J15" s="27">
        <v>122180</v>
      </c>
      <c r="K15" s="27">
        <f t="shared" si="2"/>
        <v>255840</v>
      </c>
      <c r="L15" s="27">
        <v>129057</v>
      </c>
      <c r="M15" s="27">
        <v>119207</v>
      </c>
      <c r="N15" s="27">
        <f t="shared" si="3"/>
        <v>248264</v>
      </c>
      <c r="O15" s="27">
        <v>128058</v>
      </c>
      <c r="P15" s="27">
        <v>118021</v>
      </c>
      <c r="Q15" s="27">
        <f t="shared" si="4"/>
        <v>246079</v>
      </c>
      <c r="R15" s="27">
        <v>126688</v>
      </c>
      <c r="S15" s="27">
        <v>117313</v>
      </c>
      <c r="T15" s="27">
        <f t="shared" si="5"/>
        <v>244001</v>
      </c>
      <c r="U15" s="27">
        <f t="shared" si="13"/>
        <v>662907</v>
      </c>
      <c r="V15" s="27">
        <f t="shared" si="13"/>
        <v>611967</v>
      </c>
      <c r="W15" s="27">
        <f t="shared" si="14"/>
        <v>1274874</v>
      </c>
      <c r="X15" s="27">
        <v>120918</v>
      </c>
      <c r="Y15" s="27">
        <v>108114</v>
      </c>
      <c r="Z15" s="27">
        <f t="shared" si="6"/>
        <v>229032</v>
      </c>
      <c r="AA15" s="27">
        <v>114723</v>
      </c>
      <c r="AB15" s="27">
        <v>99646</v>
      </c>
      <c r="AC15" s="27">
        <f t="shared" si="7"/>
        <v>214369</v>
      </c>
      <c r="AD15" s="27">
        <v>113000</v>
      </c>
      <c r="AE15" s="27">
        <v>99031</v>
      </c>
      <c r="AF15" s="27">
        <f t="shared" si="8"/>
        <v>212031</v>
      </c>
      <c r="AG15" s="27">
        <f t="shared" si="15"/>
        <v>348641</v>
      </c>
      <c r="AH15" s="27">
        <f t="shared" si="15"/>
        <v>306791</v>
      </c>
      <c r="AI15" s="27">
        <f t="shared" si="16"/>
        <v>655432</v>
      </c>
      <c r="AJ15" s="27">
        <f t="shared" si="17"/>
        <v>1011548</v>
      </c>
      <c r="AK15" s="27">
        <f t="shared" si="17"/>
        <v>918758</v>
      </c>
      <c r="AL15" s="27">
        <f t="shared" si="18"/>
        <v>1930306</v>
      </c>
      <c r="AM15" s="27">
        <v>91441</v>
      </c>
      <c r="AN15" s="27">
        <v>77902</v>
      </c>
      <c r="AO15" s="27">
        <f t="shared" si="9"/>
        <v>169343</v>
      </c>
      <c r="AP15" s="27">
        <v>80807</v>
      </c>
      <c r="AQ15" s="27">
        <v>70859</v>
      </c>
      <c r="AR15" s="27">
        <f t="shared" si="10"/>
        <v>151666</v>
      </c>
      <c r="AS15" s="27">
        <f t="shared" si="19"/>
        <v>172248</v>
      </c>
      <c r="AT15" s="27">
        <f t="shared" si="19"/>
        <v>148761</v>
      </c>
      <c r="AU15" s="27">
        <f t="shared" si="20"/>
        <v>321009</v>
      </c>
      <c r="AV15" s="27">
        <f t="shared" si="21"/>
        <v>1183796</v>
      </c>
      <c r="AW15" s="27">
        <f t="shared" si="21"/>
        <v>1067519</v>
      </c>
      <c r="AX15" s="27">
        <f t="shared" si="22"/>
        <v>2251315</v>
      </c>
      <c r="AY15" s="27">
        <v>61328</v>
      </c>
      <c r="AZ15" s="27">
        <v>53255</v>
      </c>
      <c r="BA15" s="27">
        <f t="shared" si="26"/>
        <v>114583</v>
      </c>
      <c r="BB15" s="27">
        <v>55004</v>
      </c>
      <c r="BC15" s="27">
        <v>48671</v>
      </c>
      <c r="BD15" s="27">
        <f t="shared" si="11"/>
        <v>103675</v>
      </c>
      <c r="BE15" s="27">
        <f t="shared" si="27"/>
        <v>116332</v>
      </c>
      <c r="BF15" s="27">
        <f t="shared" si="27"/>
        <v>101926</v>
      </c>
      <c r="BG15" s="27">
        <f t="shared" si="28"/>
        <v>218258</v>
      </c>
      <c r="BH15" s="27">
        <f t="shared" si="12"/>
        <v>1300128</v>
      </c>
      <c r="BI15" s="27">
        <f t="shared" si="12"/>
        <v>1169445</v>
      </c>
      <c r="BJ15" s="27">
        <f t="shared" si="23"/>
        <v>2469573</v>
      </c>
      <c r="BK15" s="27">
        <f t="shared" si="24"/>
        <v>1392239</v>
      </c>
      <c r="BL15" s="27">
        <f t="shared" si="24"/>
        <v>1250244</v>
      </c>
      <c r="BM15" s="27">
        <f t="shared" si="25"/>
        <v>2642483</v>
      </c>
    </row>
    <row r="16" spans="1:65" s="24" customFormat="1" ht="18.75" customHeight="1">
      <c r="A16" s="25">
        <v>11</v>
      </c>
      <c r="B16" s="26" t="s">
        <v>52</v>
      </c>
      <c r="C16" s="27">
        <v>64311</v>
      </c>
      <c r="D16" s="27">
        <v>49517</v>
      </c>
      <c r="E16" s="27">
        <f t="shared" si="0"/>
        <v>113828</v>
      </c>
      <c r="F16" s="27">
        <v>614361</v>
      </c>
      <c r="G16" s="27">
        <v>586825</v>
      </c>
      <c r="H16" s="27">
        <f t="shared" si="1"/>
        <v>1201186</v>
      </c>
      <c r="I16" s="27">
        <v>522682</v>
      </c>
      <c r="J16" s="27">
        <v>507047</v>
      </c>
      <c r="K16" s="27">
        <f t="shared" si="2"/>
        <v>1029729</v>
      </c>
      <c r="L16" s="27">
        <v>495546</v>
      </c>
      <c r="M16" s="27">
        <v>481559</v>
      </c>
      <c r="N16" s="27">
        <f t="shared" si="3"/>
        <v>977105</v>
      </c>
      <c r="O16" s="27">
        <v>466071</v>
      </c>
      <c r="P16" s="27">
        <v>455243</v>
      </c>
      <c r="Q16" s="27">
        <f t="shared" si="4"/>
        <v>921314</v>
      </c>
      <c r="R16" s="27">
        <v>447748</v>
      </c>
      <c r="S16" s="27">
        <v>438727</v>
      </c>
      <c r="T16" s="27">
        <f t="shared" si="5"/>
        <v>886475</v>
      </c>
      <c r="U16" s="27">
        <f t="shared" ref="U16" si="33">F16+I16+L16+O16+R16</f>
        <v>2546408</v>
      </c>
      <c r="V16" s="27">
        <f t="shared" ref="V16" si="34">G16+J16+M16+P16+S16</f>
        <v>2469401</v>
      </c>
      <c r="W16" s="27">
        <f t="shared" ref="W16" si="35">U16+V16</f>
        <v>5015809</v>
      </c>
      <c r="X16" s="27">
        <v>335909</v>
      </c>
      <c r="Y16" s="27">
        <v>326745</v>
      </c>
      <c r="Z16" s="27">
        <f t="shared" si="6"/>
        <v>662654</v>
      </c>
      <c r="AA16" s="27">
        <v>312566</v>
      </c>
      <c r="AB16" s="27">
        <v>302864</v>
      </c>
      <c r="AC16" s="27">
        <f t="shared" si="7"/>
        <v>615430</v>
      </c>
      <c r="AD16" s="27">
        <v>279452</v>
      </c>
      <c r="AE16" s="27">
        <v>265521</v>
      </c>
      <c r="AF16" s="27">
        <f t="shared" si="8"/>
        <v>544973</v>
      </c>
      <c r="AG16" s="27">
        <f t="shared" ref="AG16" si="36">X16+AA16+AD16</f>
        <v>927927</v>
      </c>
      <c r="AH16" s="27">
        <f t="shared" ref="AH16" si="37">Y16+AB16+AE16</f>
        <v>895130</v>
      </c>
      <c r="AI16" s="27">
        <f t="shared" ref="AI16" si="38">AG16+AH16</f>
        <v>1823057</v>
      </c>
      <c r="AJ16" s="27">
        <f t="shared" ref="AJ16" si="39">U16+AG16</f>
        <v>3474335</v>
      </c>
      <c r="AK16" s="27">
        <f t="shared" ref="AK16" si="40">V16+AH16</f>
        <v>3364531</v>
      </c>
      <c r="AL16" s="27">
        <f t="shared" ref="AL16" si="41">AJ16+AK16</f>
        <v>6838866</v>
      </c>
      <c r="AM16" s="27">
        <v>202856</v>
      </c>
      <c r="AN16" s="27">
        <v>178071</v>
      </c>
      <c r="AO16" s="27">
        <f t="shared" si="9"/>
        <v>380927</v>
      </c>
      <c r="AP16" s="27">
        <v>155895</v>
      </c>
      <c r="AQ16" s="27">
        <v>134506</v>
      </c>
      <c r="AR16" s="27">
        <f t="shared" si="10"/>
        <v>290401</v>
      </c>
      <c r="AS16" s="27">
        <v>358751</v>
      </c>
      <c r="AT16" s="27">
        <f t="shared" ref="AT16" si="42">AN16+AQ16</f>
        <v>312577</v>
      </c>
      <c r="AU16" s="27">
        <f t="shared" ref="AU16" si="43">AS16+AT16</f>
        <v>671328</v>
      </c>
      <c r="AV16" s="27">
        <f t="shared" ref="AV16" si="44">U16+AG16+AS16</f>
        <v>3833086</v>
      </c>
      <c r="AW16" s="27">
        <f t="shared" ref="AW16" si="45">V16+AH16+AT16</f>
        <v>3677108</v>
      </c>
      <c r="AX16" s="27">
        <f t="shared" ref="AX16" si="46">AV16+AW16</f>
        <v>7510194</v>
      </c>
      <c r="AY16" s="27">
        <v>55882</v>
      </c>
      <c r="AZ16" s="27">
        <v>47105</v>
      </c>
      <c r="BA16" s="27">
        <f t="shared" si="26"/>
        <v>102987</v>
      </c>
      <c r="BB16" s="27">
        <v>45820</v>
      </c>
      <c r="BC16" s="27">
        <v>38007</v>
      </c>
      <c r="BD16" s="27">
        <f t="shared" si="11"/>
        <v>83827</v>
      </c>
      <c r="BE16" s="27">
        <f t="shared" ref="BE16" si="47">AY16+BB16</f>
        <v>101702</v>
      </c>
      <c r="BF16" s="27">
        <f t="shared" ref="BF16" si="48">AZ16+BC16</f>
        <v>85112</v>
      </c>
      <c r="BG16" s="27">
        <f t="shared" ref="BG16" si="49">BE16+BF16</f>
        <v>186814</v>
      </c>
      <c r="BH16" s="27">
        <f t="shared" si="12"/>
        <v>3934788</v>
      </c>
      <c r="BI16" s="27">
        <f t="shared" si="12"/>
        <v>3762220</v>
      </c>
      <c r="BJ16" s="27">
        <f t="shared" si="23"/>
        <v>7697008</v>
      </c>
      <c r="BK16" s="27">
        <f t="shared" si="24"/>
        <v>3999099</v>
      </c>
      <c r="BL16" s="27">
        <f t="shared" si="24"/>
        <v>3811737</v>
      </c>
      <c r="BM16" s="27">
        <f t="shared" si="25"/>
        <v>7810836</v>
      </c>
    </row>
    <row r="17" spans="1:65" ht="18.75" customHeight="1">
      <c r="A17" s="25">
        <v>12</v>
      </c>
      <c r="B17" s="26" t="s">
        <v>25</v>
      </c>
      <c r="C17" s="27"/>
      <c r="D17" s="27"/>
      <c r="E17" s="27"/>
      <c r="F17" s="27">
        <f>104850+115848+48808+316760+11518</f>
        <v>597784</v>
      </c>
      <c r="G17" s="27">
        <f>91799+105923+44284+292144+10765</f>
        <v>544915</v>
      </c>
      <c r="H17" s="27">
        <f t="shared" si="1"/>
        <v>1142699</v>
      </c>
      <c r="I17" s="27">
        <f>99546+110307+45908+305544+13201</f>
        <v>574506</v>
      </c>
      <c r="J17" s="27">
        <f>88047+103252+43481+287224+10546</f>
        <v>532550</v>
      </c>
      <c r="K17" s="27">
        <f>I17+J17</f>
        <v>1107056</v>
      </c>
      <c r="L17" s="27">
        <f>96374+106144+43820+298109+11449</f>
        <v>555896</v>
      </c>
      <c r="M17" s="27">
        <f>85708+98986+41427+283141</f>
        <v>509262</v>
      </c>
      <c r="N17" s="27">
        <f t="shared" si="3"/>
        <v>1065158</v>
      </c>
      <c r="O17" s="27">
        <f>95600+107522+45574+302702+11229</f>
        <v>562627</v>
      </c>
      <c r="P17" s="27">
        <f>85522+100535+42688+288562+10620</f>
        <v>527927</v>
      </c>
      <c r="Q17" s="27">
        <f t="shared" si="4"/>
        <v>1090554</v>
      </c>
      <c r="R17" s="27">
        <f>95906+110010+46210+312873+11736</f>
        <v>576735</v>
      </c>
      <c r="S17" s="27">
        <f>85191+102788+43548+295138+11101</f>
        <v>537766</v>
      </c>
      <c r="T17" s="27">
        <f t="shared" si="5"/>
        <v>1114501</v>
      </c>
      <c r="U17" s="27">
        <f t="shared" si="13"/>
        <v>2867548</v>
      </c>
      <c r="V17" s="27">
        <f t="shared" si="13"/>
        <v>2652420</v>
      </c>
      <c r="W17" s="27">
        <f t="shared" si="14"/>
        <v>5519968</v>
      </c>
      <c r="X17" s="27">
        <f>95027+103860+43577+301442+11843</f>
        <v>555749</v>
      </c>
      <c r="Y17" s="27">
        <f>84492+95044+40008+286879+11044</f>
        <v>517467</v>
      </c>
      <c r="Z17" s="27">
        <f t="shared" si="6"/>
        <v>1073216</v>
      </c>
      <c r="AA17" s="27">
        <f>90769+100916+42023+294404+11223</f>
        <v>539335</v>
      </c>
      <c r="AB17" s="27">
        <f>82082+92004+39312+283931+11082</f>
        <v>508411</v>
      </c>
      <c r="AC17" s="27">
        <f>AA17+AB17</f>
        <v>1047746</v>
      </c>
      <c r="AD17" s="27">
        <f>117523+89862+36942+242723+11644</f>
        <v>498694</v>
      </c>
      <c r="AE17" s="27">
        <f>102291+79002+32320+230586+11511</f>
        <v>455710</v>
      </c>
      <c r="AF17" s="27">
        <f t="shared" si="8"/>
        <v>954404</v>
      </c>
      <c r="AG17" s="27">
        <f t="shared" si="15"/>
        <v>1593778</v>
      </c>
      <c r="AH17" s="27">
        <f t="shared" si="15"/>
        <v>1481588</v>
      </c>
      <c r="AI17" s="27">
        <f t="shared" si="16"/>
        <v>3075366</v>
      </c>
      <c r="AJ17" s="27">
        <f t="shared" si="17"/>
        <v>4461326</v>
      </c>
      <c r="AK17" s="27">
        <f t="shared" si="17"/>
        <v>4134008</v>
      </c>
      <c r="AL17" s="27">
        <f t="shared" si="18"/>
        <v>8595334</v>
      </c>
      <c r="AM17" s="27">
        <f>119461+82561+34157+231015+11504</f>
        <v>478698</v>
      </c>
      <c r="AN17" s="27">
        <f>106142+73329+29214+218493+11666</f>
        <v>438844</v>
      </c>
      <c r="AO17" s="27">
        <f t="shared" si="9"/>
        <v>917542</v>
      </c>
      <c r="AP17" s="27">
        <f>108780+68584+27375+196438+9957</f>
        <v>411134</v>
      </c>
      <c r="AQ17" s="27">
        <f>97471+62704+24619+195842+10622</f>
        <v>391258</v>
      </c>
      <c r="AR17" s="27">
        <f t="shared" si="10"/>
        <v>802392</v>
      </c>
      <c r="AS17" s="27">
        <f t="shared" si="19"/>
        <v>889832</v>
      </c>
      <c r="AT17" s="27">
        <f t="shared" si="19"/>
        <v>830102</v>
      </c>
      <c r="AU17" s="27">
        <f t="shared" si="20"/>
        <v>1719934</v>
      </c>
      <c r="AV17" s="27">
        <f t="shared" si="21"/>
        <v>5351158</v>
      </c>
      <c r="AW17" s="27">
        <f t="shared" si="21"/>
        <v>4964110</v>
      </c>
      <c r="AX17" s="27">
        <f t="shared" si="22"/>
        <v>10315268</v>
      </c>
      <c r="AY17" s="27">
        <v>287908</v>
      </c>
      <c r="AZ17" s="27">
        <v>271159</v>
      </c>
      <c r="BA17" s="27">
        <f t="shared" si="26"/>
        <v>559067</v>
      </c>
      <c r="BB17" s="27">
        <v>209008</v>
      </c>
      <c r="BC17" s="27">
        <v>219570</v>
      </c>
      <c r="BD17" s="27">
        <f t="shared" si="11"/>
        <v>428578</v>
      </c>
      <c r="BE17" s="27">
        <f t="shared" si="27"/>
        <v>496916</v>
      </c>
      <c r="BF17" s="27">
        <f t="shared" si="27"/>
        <v>490729</v>
      </c>
      <c r="BG17" s="27">
        <f t="shared" si="28"/>
        <v>987645</v>
      </c>
      <c r="BH17" s="27">
        <f t="shared" si="12"/>
        <v>5848074</v>
      </c>
      <c r="BI17" s="27">
        <f t="shared" si="12"/>
        <v>5454839</v>
      </c>
      <c r="BJ17" s="27">
        <f t="shared" si="23"/>
        <v>11302913</v>
      </c>
      <c r="BK17" s="27">
        <f t="shared" si="24"/>
        <v>5848074</v>
      </c>
      <c r="BL17" s="27">
        <f t="shared" si="24"/>
        <v>5454839</v>
      </c>
      <c r="BM17" s="27">
        <f t="shared" si="25"/>
        <v>11302913</v>
      </c>
    </row>
    <row r="18" spans="1:65" ht="18.75" customHeight="1">
      <c r="A18" s="25">
        <v>13</v>
      </c>
      <c r="B18" s="26" t="s">
        <v>26</v>
      </c>
      <c r="C18" s="27"/>
      <c r="D18" s="27"/>
      <c r="E18" s="27"/>
      <c r="F18" s="27">
        <v>210775</v>
      </c>
      <c r="G18" s="27">
        <v>204955</v>
      </c>
      <c r="H18" s="27">
        <f t="shared" si="1"/>
        <v>415730</v>
      </c>
      <c r="I18" s="27">
        <v>222665</v>
      </c>
      <c r="J18" s="27">
        <v>213186</v>
      </c>
      <c r="K18" s="27">
        <f>I18+J18</f>
        <v>435851</v>
      </c>
      <c r="L18" s="27">
        <v>231944</v>
      </c>
      <c r="M18" s="27">
        <v>223382</v>
      </c>
      <c r="N18" s="27">
        <f t="shared" si="3"/>
        <v>455326</v>
      </c>
      <c r="O18" s="27">
        <v>241866</v>
      </c>
      <c r="P18" s="27">
        <v>230612</v>
      </c>
      <c r="Q18" s="27">
        <f t="shared" si="4"/>
        <v>472478</v>
      </c>
      <c r="R18" s="27">
        <v>262087</v>
      </c>
      <c r="S18" s="27">
        <v>248656</v>
      </c>
      <c r="T18" s="27">
        <f t="shared" si="5"/>
        <v>510743</v>
      </c>
      <c r="U18" s="27">
        <f t="shared" si="13"/>
        <v>1169337</v>
      </c>
      <c r="V18" s="27">
        <f t="shared" si="13"/>
        <v>1120791</v>
      </c>
      <c r="W18" s="27">
        <f t="shared" si="14"/>
        <v>2290128</v>
      </c>
      <c r="X18" s="27">
        <v>275421</v>
      </c>
      <c r="Y18" s="27">
        <v>262405</v>
      </c>
      <c r="Z18" s="27">
        <f t="shared" si="6"/>
        <v>537826</v>
      </c>
      <c r="AA18" s="27">
        <v>281288</v>
      </c>
      <c r="AB18" s="27">
        <v>264762</v>
      </c>
      <c r="AC18" s="27">
        <f t="shared" si="7"/>
        <v>546050</v>
      </c>
      <c r="AD18" s="27">
        <v>283659</v>
      </c>
      <c r="AE18" s="27">
        <v>261789</v>
      </c>
      <c r="AF18" s="27">
        <f t="shared" si="8"/>
        <v>545448</v>
      </c>
      <c r="AG18" s="27">
        <f t="shared" si="15"/>
        <v>840368</v>
      </c>
      <c r="AH18" s="27">
        <f t="shared" si="15"/>
        <v>788956</v>
      </c>
      <c r="AI18" s="27">
        <f t="shared" si="16"/>
        <v>1629324</v>
      </c>
      <c r="AJ18" s="27">
        <f t="shared" si="17"/>
        <v>2009705</v>
      </c>
      <c r="AK18" s="27">
        <f t="shared" si="17"/>
        <v>1909747</v>
      </c>
      <c r="AL18" s="27">
        <f t="shared" si="18"/>
        <v>3919452</v>
      </c>
      <c r="AM18" s="27">
        <v>291179</v>
      </c>
      <c r="AN18" s="27">
        <v>272388</v>
      </c>
      <c r="AO18" s="27">
        <f t="shared" si="9"/>
        <v>563567</v>
      </c>
      <c r="AP18" s="27">
        <v>265621</v>
      </c>
      <c r="AQ18" s="27">
        <v>261118</v>
      </c>
      <c r="AR18" s="27">
        <f t="shared" si="10"/>
        <v>526739</v>
      </c>
      <c r="AS18" s="27">
        <f t="shared" si="19"/>
        <v>556800</v>
      </c>
      <c r="AT18" s="27">
        <f t="shared" si="19"/>
        <v>533506</v>
      </c>
      <c r="AU18" s="27">
        <f t="shared" si="20"/>
        <v>1090306</v>
      </c>
      <c r="AV18" s="27">
        <f t="shared" si="21"/>
        <v>2566505</v>
      </c>
      <c r="AW18" s="27">
        <f t="shared" si="21"/>
        <v>2443253</v>
      </c>
      <c r="AX18" s="27">
        <f t="shared" si="22"/>
        <v>5009758</v>
      </c>
      <c r="AY18" s="27">
        <v>197112</v>
      </c>
      <c r="AZ18" s="27">
        <v>223773</v>
      </c>
      <c r="BA18" s="27">
        <f t="shared" si="26"/>
        <v>420885</v>
      </c>
      <c r="BB18" s="27">
        <v>180828</v>
      </c>
      <c r="BC18" s="27">
        <v>206361</v>
      </c>
      <c r="BD18" s="27">
        <f t="shared" si="11"/>
        <v>387189</v>
      </c>
      <c r="BE18" s="27">
        <f t="shared" si="27"/>
        <v>377940</v>
      </c>
      <c r="BF18" s="27">
        <f t="shared" si="27"/>
        <v>430134</v>
      </c>
      <c r="BG18" s="27">
        <f t="shared" si="28"/>
        <v>808074</v>
      </c>
      <c r="BH18" s="27">
        <f t="shared" si="12"/>
        <v>2944445</v>
      </c>
      <c r="BI18" s="27">
        <f t="shared" si="12"/>
        <v>2873387</v>
      </c>
      <c r="BJ18" s="27">
        <f t="shared" si="23"/>
        <v>5817832</v>
      </c>
      <c r="BK18" s="27">
        <f t="shared" si="24"/>
        <v>2944445</v>
      </c>
      <c r="BL18" s="27">
        <f t="shared" si="24"/>
        <v>2873387</v>
      </c>
      <c r="BM18" s="27">
        <f t="shared" si="25"/>
        <v>5817832</v>
      </c>
    </row>
    <row r="19" spans="1:65" ht="18.75" customHeight="1">
      <c r="A19" s="25">
        <v>14</v>
      </c>
      <c r="B19" s="26" t="s">
        <v>27</v>
      </c>
      <c r="C19" s="27"/>
      <c r="D19" s="27"/>
      <c r="E19" s="27"/>
      <c r="F19" s="27">
        <v>1218377</v>
      </c>
      <c r="G19" s="27">
        <v>1119120</v>
      </c>
      <c r="H19" s="27">
        <f t="shared" si="1"/>
        <v>2337497</v>
      </c>
      <c r="I19" s="27">
        <v>1138412</v>
      </c>
      <c r="J19" s="27">
        <v>1091123</v>
      </c>
      <c r="K19" s="27">
        <f t="shared" si="2"/>
        <v>2229535</v>
      </c>
      <c r="L19" s="27">
        <v>1061320</v>
      </c>
      <c r="M19" s="27">
        <v>1053095</v>
      </c>
      <c r="N19" s="27">
        <f t="shared" si="3"/>
        <v>2114415</v>
      </c>
      <c r="O19" s="27">
        <v>1029083</v>
      </c>
      <c r="P19" s="27">
        <v>1015164</v>
      </c>
      <c r="Q19" s="27">
        <f t="shared" si="4"/>
        <v>2044247</v>
      </c>
      <c r="R19" s="27">
        <v>966391</v>
      </c>
      <c r="S19" s="27">
        <v>965397</v>
      </c>
      <c r="T19" s="27">
        <f t="shared" si="5"/>
        <v>1931788</v>
      </c>
      <c r="U19" s="27">
        <f t="shared" si="13"/>
        <v>5413583</v>
      </c>
      <c r="V19" s="27">
        <f t="shared" si="13"/>
        <v>5243899</v>
      </c>
      <c r="W19" s="27">
        <f t="shared" si="14"/>
        <v>10657482</v>
      </c>
      <c r="X19" s="27">
        <v>856666</v>
      </c>
      <c r="Y19" s="27">
        <v>855544</v>
      </c>
      <c r="Z19" s="27">
        <f t="shared" si="6"/>
        <v>1712210</v>
      </c>
      <c r="AA19" s="27">
        <v>814566</v>
      </c>
      <c r="AB19" s="27">
        <v>801909</v>
      </c>
      <c r="AC19" s="27">
        <f t="shared" si="7"/>
        <v>1616475</v>
      </c>
      <c r="AD19" s="27">
        <v>737824</v>
      </c>
      <c r="AE19" s="27">
        <v>697572</v>
      </c>
      <c r="AF19" s="27">
        <f t="shared" si="8"/>
        <v>1435396</v>
      </c>
      <c r="AG19" s="27">
        <f t="shared" si="15"/>
        <v>2409056</v>
      </c>
      <c r="AH19" s="27">
        <f t="shared" si="15"/>
        <v>2355025</v>
      </c>
      <c r="AI19" s="27">
        <f t="shared" si="16"/>
        <v>4764081</v>
      </c>
      <c r="AJ19" s="27">
        <f t="shared" si="17"/>
        <v>7822639</v>
      </c>
      <c r="AK19" s="27">
        <f t="shared" si="17"/>
        <v>7598924</v>
      </c>
      <c r="AL19" s="27">
        <f t="shared" si="18"/>
        <v>15421563</v>
      </c>
      <c r="AM19" s="27">
        <v>735906</v>
      </c>
      <c r="AN19" s="27">
        <v>463376</v>
      </c>
      <c r="AO19" s="27">
        <f t="shared" si="9"/>
        <v>1199282</v>
      </c>
      <c r="AP19" s="27">
        <v>620213</v>
      </c>
      <c r="AQ19" s="27">
        <v>379067</v>
      </c>
      <c r="AR19" s="27">
        <f t="shared" si="10"/>
        <v>999280</v>
      </c>
      <c r="AS19" s="27">
        <f t="shared" si="19"/>
        <v>1356119</v>
      </c>
      <c r="AT19" s="27">
        <f t="shared" si="19"/>
        <v>842443</v>
      </c>
      <c r="AU19" s="27">
        <f t="shared" si="20"/>
        <v>2198562</v>
      </c>
      <c r="AV19" s="27">
        <f t="shared" si="21"/>
        <v>9178758</v>
      </c>
      <c r="AW19" s="27">
        <f t="shared" si="21"/>
        <v>8441367</v>
      </c>
      <c r="AX19" s="27">
        <f t="shared" si="22"/>
        <v>17620125</v>
      </c>
      <c r="AY19" s="27">
        <v>468234</v>
      </c>
      <c r="AZ19" s="27">
        <v>316684</v>
      </c>
      <c r="BA19" s="27">
        <f t="shared" si="26"/>
        <v>784918</v>
      </c>
      <c r="BB19" s="27">
        <v>458720</v>
      </c>
      <c r="BC19" s="27">
        <v>298561</v>
      </c>
      <c r="BD19" s="27">
        <f t="shared" si="11"/>
        <v>757281</v>
      </c>
      <c r="BE19" s="27">
        <f t="shared" si="27"/>
        <v>926954</v>
      </c>
      <c r="BF19" s="27">
        <f t="shared" si="27"/>
        <v>615245</v>
      </c>
      <c r="BG19" s="27">
        <f t="shared" si="28"/>
        <v>1542199</v>
      </c>
      <c r="BH19" s="27">
        <f t="shared" si="12"/>
        <v>10105712</v>
      </c>
      <c r="BI19" s="27">
        <f t="shared" si="12"/>
        <v>9056612</v>
      </c>
      <c r="BJ19" s="27">
        <f t="shared" si="23"/>
        <v>19162324</v>
      </c>
      <c r="BK19" s="27">
        <f t="shared" si="24"/>
        <v>10105712</v>
      </c>
      <c r="BL19" s="27">
        <f t="shared" si="24"/>
        <v>9056612</v>
      </c>
      <c r="BM19" s="27">
        <f t="shared" si="25"/>
        <v>19162324</v>
      </c>
    </row>
    <row r="20" spans="1:65" ht="18.75" customHeight="1">
      <c r="A20" s="25">
        <v>15</v>
      </c>
      <c r="B20" s="26" t="s">
        <v>28</v>
      </c>
      <c r="C20" s="27">
        <v>1259699</v>
      </c>
      <c r="D20" s="27">
        <v>1107107</v>
      </c>
      <c r="E20" s="27">
        <f>C20+D20</f>
        <v>2366806</v>
      </c>
      <c r="F20" s="27">
        <v>1074911</v>
      </c>
      <c r="G20" s="27">
        <v>959139</v>
      </c>
      <c r="H20" s="27">
        <f t="shared" si="1"/>
        <v>2034050</v>
      </c>
      <c r="I20" s="27">
        <v>1090418</v>
      </c>
      <c r="J20" s="27">
        <v>979473</v>
      </c>
      <c r="K20" s="27">
        <f t="shared" si="2"/>
        <v>2069891</v>
      </c>
      <c r="L20" s="27">
        <v>1119700</v>
      </c>
      <c r="M20" s="27">
        <v>1002478</v>
      </c>
      <c r="N20" s="27">
        <f t="shared" si="3"/>
        <v>2122178</v>
      </c>
      <c r="O20" s="27">
        <v>1098148</v>
      </c>
      <c r="P20" s="27">
        <v>975039</v>
      </c>
      <c r="Q20" s="27">
        <f t="shared" si="4"/>
        <v>2073187</v>
      </c>
      <c r="R20" s="27">
        <v>1088301</v>
      </c>
      <c r="S20" s="27">
        <v>949582</v>
      </c>
      <c r="T20" s="27">
        <f t="shared" si="5"/>
        <v>2037883</v>
      </c>
      <c r="U20" s="27">
        <f t="shared" si="13"/>
        <v>5471478</v>
      </c>
      <c r="V20" s="27">
        <f t="shared" si="13"/>
        <v>4865711</v>
      </c>
      <c r="W20" s="27">
        <f t="shared" si="14"/>
        <v>10337189</v>
      </c>
      <c r="X20" s="27">
        <v>1079402</v>
      </c>
      <c r="Y20" s="27">
        <v>948878</v>
      </c>
      <c r="Z20" s="27">
        <f t="shared" si="6"/>
        <v>2028280</v>
      </c>
      <c r="AA20" s="27">
        <v>1062109</v>
      </c>
      <c r="AB20" s="27">
        <v>933412</v>
      </c>
      <c r="AC20" s="27">
        <f t="shared" si="7"/>
        <v>1995521</v>
      </c>
      <c r="AD20" s="27">
        <v>980915</v>
      </c>
      <c r="AE20" s="27">
        <v>843986</v>
      </c>
      <c r="AF20" s="27">
        <f t="shared" si="8"/>
        <v>1824901</v>
      </c>
      <c r="AG20" s="27">
        <f t="shared" si="15"/>
        <v>3122426</v>
      </c>
      <c r="AH20" s="27">
        <f t="shared" si="15"/>
        <v>2726276</v>
      </c>
      <c r="AI20" s="27">
        <f t="shared" si="16"/>
        <v>5848702</v>
      </c>
      <c r="AJ20" s="27">
        <f t="shared" si="17"/>
        <v>8593904</v>
      </c>
      <c r="AK20" s="27">
        <f t="shared" si="17"/>
        <v>7591987</v>
      </c>
      <c r="AL20" s="27">
        <f t="shared" si="18"/>
        <v>16185891</v>
      </c>
      <c r="AM20" s="27">
        <v>875470</v>
      </c>
      <c r="AN20" s="27">
        <v>750368</v>
      </c>
      <c r="AO20" s="27">
        <f t="shared" si="9"/>
        <v>1625838</v>
      </c>
      <c r="AP20" s="27">
        <v>800025</v>
      </c>
      <c r="AQ20" s="27">
        <v>691140</v>
      </c>
      <c r="AR20" s="27">
        <f t="shared" si="10"/>
        <v>1491165</v>
      </c>
      <c r="AS20" s="27">
        <f t="shared" si="19"/>
        <v>1675495</v>
      </c>
      <c r="AT20" s="27">
        <f t="shared" si="19"/>
        <v>1441508</v>
      </c>
      <c r="AU20" s="27">
        <f t="shared" si="20"/>
        <v>3117003</v>
      </c>
      <c r="AV20" s="27">
        <f t="shared" si="21"/>
        <v>10269399</v>
      </c>
      <c r="AW20" s="27">
        <f t="shared" si="21"/>
        <v>9033495</v>
      </c>
      <c r="AX20" s="27">
        <f t="shared" si="22"/>
        <v>19302894</v>
      </c>
      <c r="AY20" s="27">
        <v>656042</v>
      </c>
      <c r="AZ20" s="27">
        <v>521234</v>
      </c>
      <c r="BA20" s="27">
        <f t="shared" si="26"/>
        <v>1177276</v>
      </c>
      <c r="BB20" s="27">
        <v>643178</v>
      </c>
      <c r="BC20" s="27">
        <v>511014</v>
      </c>
      <c r="BD20" s="27">
        <f t="shared" si="11"/>
        <v>1154192</v>
      </c>
      <c r="BE20" s="27">
        <f t="shared" si="27"/>
        <v>1299220</v>
      </c>
      <c r="BF20" s="27">
        <f t="shared" si="27"/>
        <v>1032248</v>
      </c>
      <c r="BG20" s="27">
        <f t="shared" si="28"/>
        <v>2331468</v>
      </c>
      <c r="BH20" s="27">
        <f t="shared" si="12"/>
        <v>11568619</v>
      </c>
      <c r="BI20" s="27">
        <f t="shared" si="12"/>
        <v>10065743</v>
      </c>
      <c r="BJ20" s="27">
        <f t="shared" si="23"/>
        <v>21634362</v>
      </c>
      <c r="BK20" s="27">
        <f t="shared" si="24"/>
        <v>12828318</v>
      </c>
      <c r="BL20" s="27">
        <f t="shared" si="24"/>
        <v>11172850</v>
      </c>
      <c r="BM20" s="27">
        <f t="shared" si="25"/>
        <v>24001168</v>
      </c>
    </row>
    <row r="21" spans="1:65" ht="18.75" customHeight="1">
      <c r="A21" s="25">
        <v>16</v>
      </c>
      <c r="B21" s="26" t="s">
        <v>29</v>
      </c>
      <c r="C21" s="27">
        <v>59658</v>
      </c>
      <c r="D21" s="27">
        <v>50723</v>
      </c>
      <c r="E21" s="27">
        <f t="shared" si="0"/>
        <v>110381</v>
      </c>
      <c r="F21" s="27">
        <v>48337</v>
      </c>
      <c r="G21" s="27">
        <v>47886</v>
      </c>
      <c r="H21" s="27">
        <f>F21+G21</f>
        <v>96223</v>
      </c>
      <c r="I21" s="27">
        <v>38198</v>
      </c>
      <c r="J21" s="27">
        <v>38135</v>
      </c>
      <c r="K21" s="27">
        <f>I21+J21</f>
        <v>76333</v>
      </c>
      <c r="L21" s="27">
        <v>32900</v>
      </c>
      <c r="M21" s="27">
        <v>32779</v>
      </c>
      <c r="N21" s="27">
        <f>L21+M21</f>
        <v>65679</v>
      </c>
      <c r="O21" s="27">
        <v>30167</v>
      </c>
      <c r="P21" s="27">
        <v>29261</v>
      </c>
      <c r="Q21" s="27">
        <f>O21+P21</f>
        <v>59428</v>
      </c>
      <c r="R21" s="27">
        <v>29133</v>
      </c>
      <c r="S21" s="27">
        <v>28292</v>
      </c>
      <c r="T21" s="27">
        <f>R21+S21</f>
        <v>57425</v>
      </c>
      <c r="U21" s="27">
        <f t="shared" si="13"/>
        <v>178735</v>
      </c>
      <c r="V21" s="27">
        <f t="shared" si="13"/>
        <v>176353</v>
      </c>
      <c r="W21" s="27">
        <f t="shared" si="14"/>
        <v>355088</v>
      </c>
      <c r="X21" s="27">
        <v>23778</v>
      </c>
      <c r="Y21" s="27">
        <v>23831</v>
      </c>
      <c r="Z21" s="27">
        <f>X21+Y21</f>
        <v>47609</v>
      </c>
      <c r="AA21" s="27">
        <v>22615</v>
      </c>
      <c r="AB21" s="27">
        <v>23523</v>
      </c>
      <c r="AC21" s="27">
        <f t="shared" si="7"/>
        <v>46138</v>
      </c>
      <c r="AD21" s="27">
        <v>22708</v>
      </c>
      <c r="AE21" s="27">
        <v>22504</v>
      </c>
      <c r="AF21" s="27">
        <f>AD21+AE21</f>
        <v>45212</v>
      </c>
      <c r="AG21" s="27">
        <f t="shared" si="15"/>
        <v>69101</v>
      </c>
      <c r="AH21" s="27">
        <f t="shared" si="15"/>
        <v>69858</v>
      </c>
      <c r="AI21" s="27">
        <f t="shared" si="16"/>
        <v>138959</v>
      </c>
      <c r="AJ21" s="27">
        <f t="shared" si="17"/>
        <v>247836</v>
      </c>
      <c r="AK21" s="27">
        <f t="shared" si="17"/>
        <v>246211</v>
      </c>
      <c r="AL21" s="27">
        <f t="shared" si="18"/>
        <v>494047</v>
      </c>
      <c r="AM21" s="27">
        <v>16662</v>
      </c>
      <c r="AN21" s="27">
        <v>17241</v>
      </c>
      <c r="AO21" s="27">
        <f>AM21+AN21</f>
        <v>33903</v>
      </c>
      <c r="AP21" s="27">
        <v>15628</v>
      </c>
      <c r="AQ21" s="27">
        <v>15796</v>
      </c>
      <c r="AR21" s="27">
        <f>AP21+AQ21</f>
        <v>31424</v>
      </c>
      <c r="AS21" s="27">
        <f t="shared" si="19"/>
        <v>32290</v>
      </c>
      <c r="AT21" s="27">
        <f t="shared" si="19"/>
        <v>33037</v>
      </c>
      <c r="AU21" s="27">
        <f t="shared" si="20"/>
        <v>65327</v>
      </c>
      <c r="AV21" s="27">
        <f t="shared" si="21"/>
        <v>280126</v>
      </c>
      <c r="AW21" s="27">
        <f t="shared" si="21"/>
        <v>279248</v>
      </c>
      <c r="AX21" s="27">
        <f t="shared" si="22"/>
        <v>559374</v>
      </c>
      <c r="AY21" s="27">
        <v>8869</v>
      </c>
      <c r="AZ21" s="27">
        <v>8323</v>
      </c>
      <c r="BA21" s="27">
        <f>AY21+AZ21</f>
        <v>17192</v>
      </c>
      <c r="BB21" s="27">
        <v>11190</v>
      </c>
      <c r="BC21" s="27">
        <v>9944</v>
      </c>
      <c r="BD21" s="27">
        <f>BB21+BC21</f>
        <v>21134</v>
      </c>
      <c r="BE21" s="27">
        <f t="shared" si="27"/>
        <v>20059</v>
      </c>
      <c r="BF21" s="27">
        <f t="shared" si="27"/>
        <v>18267</v>
      </c>
      <c r="BG21" s="27">
        <f t="shared" si="28"/>
        <v>38326</v>
      </c>
      <c r="BH21" s="27">
        <f t="shared" si="12"/>
        <v>300185</v>
      </c>
      <c r="BI21" s="27">
        <f t="shared" si="12"/>
        <v>297515</v>
      </c>
      <c r="BJ21" s="27">
        <f t="shared" si="23"/>
        <v>597700</v>
      </c>
      <c r="BK21" s="27">
        <f t="shared" si="24"/>
        <v>359843</v>
      </c>
      <c r="BL21" s="27">
        <f t="shared" si="24"/>
        <v>348238</v>
      </c>
      <c r="BM21" s="27">
        <f t="shared" si="25"/>
        <v>708081</v>
      </c>
    </row>
    <row r="22" spans="1:65" ht="18.75" customHeight="1">
      <c r="A22" s="25">
        <v>17</v>
      </c>
      <c r="B22" s="26" t="s">
        <v>30</v>
      </c>
      <c r="C22" s="27">
        <v>127896</v>
      </c>
      <c r="D22" s="27">
        <v>124656</v>
      </c>
      <c r="E22" s="27">
        <f t="shared" si="0"/>
        <v>252552</v>
      </c>
      <c r="F22" s="27">
        <v>77813</v>
      </c>
      <c r="G22" s="27">
        <v>75409</v>
      </c>
      <c r="H22" s="27">
        <f t="shared" si="1"/>
        <v>153222</v>
      </c>
      <c r="I22" s="27">
        <v>56138</v>
      </c>
      <c r="J22" s="27">
        <v>55324</v>
      </c>
      <c r="K22" s="27">
        <f t="shared" si="2"/>
        <v>111462</v>
      </c>
      <c r="L22" s="27">
        <v>48618</v>
      </c>
      <c r="M22" s="27">
        <v>49580</v>
      </c>
      <c r="N22" s="27">
        <f t="shared" si="3"/>
        <v>98198</v>
      </c>
      <c r="O22" s="27">
        <v>40713</v>
      </c>
      <c r="P22" s="27">
        <v>42760</v>
      </c>
      <c r="Q22" s="27">
        <f t="shared" si="4"/>
        <v>83473</v>
      </c>
      <c r="R22" s="27">
        <v>33442</v>
      </c>
      <c r="S22" s="27">
        <v>36545</v>
      </c>
      <c r="T22" s="27">
        <f t="shared" si="5"/>
        <v>69987</v>
      </c>
      <c r="U22" s="27">
        <f t="shared" si="13"/>
        <v>256724</v>
      </c>
      <c r="V22" s="27">
        <f t="shared" si="13"/>
        <v>259618</v>
      </c>
      <c r="W22" s="27">
        <f t="shared" si="14"/>
        <v>516342</v>
      </c>
      <c r="X22" s="27">
        <v>35223</v>
      </c>
      <c r="Y22" s="27">
        <v>39566</v>
      </c>
      <c r="Z22" s="27">
        <f t="shared" si="6"/>
        <v>74789</v>
      </c>
      <c r="AA22" s="27">
        <v>29765</v>
      </c>
      <c r="AB22" s="27">
        <v>33671</v>
      </c>
      <c r="AC22" s="27">
        <f t="shared" si="7"/>
        <v>63436</v>
      </c>
      <c r="AD22" s="27">
        <v>24154</v>
      </c>
      <c r="AE22" s="27">
        <v>26895</v>
      </c>
      <c r="AF22" s="27">
        <f t="shared" si="8"/>
        <v>51049</v>
      </c>
      <c r="AG22" s="27">
        <f t="shared" si="15"/>
        <v>89142</v>
      </c>
      <c r="AH22" s="27">
        <f t="shared" si="15"/>
        <v>100132</v>
      </c>
      <c r="AI22" s="27">
        <f t="shared" si="16"/>
        <v>189274</v>
      </c>
      <c r="AJ22" s="27">
        <f t="shared" si="17"/>
        <v>345866</v>
      </c>
      <c r="AK22" s="27">
        <f t="shared" si="17"/>
        <v>359750</v>
      </c>
      <c r="AL22" s="27">
        <f t="shared" si="18"/>
        <v>705616</v>
      </c>
      <c r="AM22" s="27">
        <v>20356</v>
      </c>
      <c r="AN22" s="27">
        <v>23144</v>
      </c>
      <c r="AO22" s="27">
        <f t="shared" si="9"/>
        <v>43500</v>
      </c>
      <c r="AP22" s="27">
        <v>15885</v>
      </c>
      <c r="AQ22" s="27">
        <v>18602</v>
      </c>
      <c r="AR22" s="27">
        <f t="shared" si="10"/>
        <v>34487</v>
      </c>
      <c r="AS22" s="27">
        <f t="shared" si="19"/>
        <v>36241</v>
      </c>
      <c r="AT22" s="27">
        <f t="shared" si="19"/>
        <v>41746</v>
      </c>
      <c r="AU22" s="27">
        <f t="shared" si="20"/>
        <v>77987</v>
      </c>
      <c r="AV22" s="27">
        <f t="shared" si="21"/>
        <v>382107</v>
      </c>
      <c r="AW22" s="27">
        <f t="shared" si="21"/>
        <v>401496</v>
      </c>
      <c r="AX22" s="27">
        <f t="shared" si="22"/>
        <v>783603</v>
      </c>
      <c r="AY22" s="27">
        <v>4614</v>
      </c>
      <c r="AZ22" s="27">
        <v>5989</v>
      </c>
      <c r="BA22" s="27">
        <f>AY22+AZ22</f>
        <v>10603</v>
      </c>
      <c r="BB22" s="27">
        <v>4063</v>
      </c>
      <c r="BC22" s="27">
        <v>5154</v>
      </c>
      <c r="BD22" s="27">
        <f t="shared" si="11"/>
        <v>9217</v>
      </c>
      <c r="BE22" s="27">
        <f t="shared" si="27"/>
        <v>8677</v>
      </c>
      <c r="BF22" s="27">
        <f t="shared" si="27"/>
        <v>11143</v>
      </c>
      <c r="BG22" s="27">
        <f t="shared" si="28"/>
        <v>19820</v>
      </c>
      <c r="BH22" s="27">
        <f t="shared" si="12"/>
        <v>390784</v>
      </c>
      <c r="BI22" s="27">
        <f t="shared" si="12"/>
        <v>412639</v>
      </c>
      <c r="BJ22" s="27">
        <f t="shared" si="23"/>
        <v>803423</v>
      </c>
      <c r="BK22" s="27">
        <f t="shared" si="24"/>
        <v>518680</v>
      </c>
      <c r="BL22" s="27">
        <f t="shared" si="24"/>
        <v>537295</v>
      </c>
      <c r="BM22" s="27">
        <f t="shared" si="25"/>
        <v>1055975</v>
      </c>
    </row>
    <row r="23" spans="1:65" ht="18.75" customHeight="1">
      <c r="A23" s="25">
        <v>18</v>
      </c>
      <c r="B23" s="26" t="s">
        <v>31</v>
      </c>
      <c r="C23" s="27">
        <v>20884</v>
      </c>
      <c r="D23" s="27">
        <v>19462</v>
      </c>
      <c r="E23" s="27">
        <f t="shared" si="0"/>
        <v>40346</v>
      </c>
      <c r="F23" s="27">
        <v>19654</v>
      </c>
      <c r="G23" s="27">
        <v>17926</v>
      </c>
      <c r="H23" s="27">
        <f t="shared" si="1"/>
        <v>37580</v>
      </c>
      <c r="I23" s="27">
        <v>15766</v>
      </c>
      <c r="J23" s="27">
        <v>14138</v>
      </c>
      <c r="K23" s="27">
        <f t="shared" si="2"/>
        <v>29904</v>
      </c>
      <c r="L23" s="27">
        <v>14580</v>
      </c>
      <c r="M23" s="27">
        <v>13339</v>
      </c>
      <c r="N23" s="27">
        <f t="shared" si="3"/>
        <v>27919</v>
      </c>
      <c r="O23" s="27">
        <v>13581</v>
      </c>
      <c r="P23" s="27">
        <v>12184</v>
      </c>
      <c r="Q23" s="27">
        <f t="shared" si="4"/>
        <v>25765</v>
      </c>
      <c r="R23" s="27">
        <v>12135</v>
      </c>
      <c r="S23" s="27">
        <v>11368</v>
      </c>
      <c r="T23" s="27">
        <f t="shared" si="5"/>
        <v>23503</v>
      </c>
      <c r="U23" s="27">
        <f t="shared" si="13"/>
        <v>75716</v>
      </c>
      <c r="V23" s="27">
        <f t="shared" si="13"/>
        <v>68955</v>
      </c>
      <c r="W23" s="27">
        <f t="shared" si="14"/>
        <v>144671</v>
      </c>
      <c r="X23" s="27">
        <v>11644</v>
      </c>
      <c r="Y23" s="27">
        <v>10589</v>
      </c>
      <c r="Z23" s="27">
        <f t="shared" si="6"/>
        <v>22233</v>
      </c>
      <c r="AA23" s="27">
        <v>11407</v>
      </c>
      <c r="AB23" s="27">
        <v>10156</v>
      </c>
      <c r="AC23" s="27">
        <f t="shared" si="7"/>
        <v>21563</v>
      </c>
      <c r="AD23" s="27">
        <v>10575</v>
      </c>
      <c r="AE23" s="27">
        <v>9852</v>
      </c>
      <c r="AF23" s="27">
        <f t="shared" si="8"/>
        <v>20427</v>
      </c>
      <c r="AG23" s="27">
        <f t="shared" si="15"/>
        <v>33626</v>
      </c>
      <c r="AH23" s="27">
        <f t="shared" si="15"/>
        <v>30597</v>
      </c>
      <c r="AI23" s="27">
        <f t="shared" si="16"/>
        <v>64223</v>
      </c>
      <c r="AJ23" s="27">
        <f t="shared" si="17"/>
        <v>109342</v>
      </c>
      <c r="AK23" s="27">
        <f t="shared" si="17"/>
        <v>99552</v>
      </c>
      <c r="AL23" s="27">
        <f t="shared" si="18"/>
        <v>208894</v>
      </c>
      <c r="AM23" s="27">
        <v>9433</v>
      </c>
      <c r="AN23" s="27">
        <v>9271</v>
      </c>
      <c r="AO23" s="27">
        <f t="shared" si="9"/>
        <v>18704</v>
      </c>
      <c r="AP23" s="27">
        <v>8530</v>
      </c>
      <c r="AQ23" s="27">
        <v>8934</v>
      </c>
      <c r="AR23" s="27">
        <f t="shared" si="10"/>
        <v>17464</v>
      </c>
      <c r="AS23" s="27">
        <f t="shared" si="19"/>
        <v>17963</v>
      </c>
      <c r="AT23" s="27">
        <f t="shared" si="19"/>
        <v>18205</v>
      </c>
      <c r="AU23" s="27">
        <f t="shared" si="20"/>
        <v>36168</v>
      </c>
      <c r="AV23" s="27">
        <f t="shared" si="21"/>
        <v>127305</v>
      </c>
      <c r="AW23" s="27">
        <f t="shared" si="21"/>
        <v>117757</v>
      </c>
      <c r="AX23" s="27">
        <f t="shared" si="22"/>
        <v>245062</v>
      </c>
      <c r="AY23" s="27">
        <v>4700</v>
      </c>
      <c r="AZ23" s="27">
        <v>4608</v>
      </c>
      <c r="BA23" s="27">
        <f t="shared" si="26"/>
        <v>9308</v>
      </c>
      <c r="BB23" s="27">
        <v>5494</v>
      </c>
      <c r="BC23" s="27">
        <v>5448</v>
      </c>
      <c r="BD23" s="27">
        <f t="shared" si="11"/>
        <v>10942</v>
      </c>
      <c r="BE23" s="27">
        <f t="shared" si="27"/>
        <v>10194</v>
      </c>
      <c r="BF23" s="27">
        <f t="shared" si="27"/>
        <v>10056</v>
      </c>
      <c r="BG23" s="27">
        <f t="shared" si="28"/>
        <v>20250</v>
      </c>
      <c r="BH23" s="27">
        <f t="shared" si="12"/>
        <v>137499</v>
      </c>
      <c r="BI23" s="27">
        <f t="shared" si="12"/>
        <v>127813</v>
      </c>
      <c r="BJ23" s="27">
        <f t="shared" si="23"/>
        <v>265312</v>
      </c>
      <c r="BK23" s="27">
        <f t="shared" si="24"/>
        <v>158383</v>
      </c>
      <c r="BL23" s="27">
        <f t="shared" si="24"/>
        <v>147275</v>
      </c>
      <c r="BM23" s="27">
        <f t="shared" si="25"/>
        <v>305658</v>
      </c>
    </row>
    <row r="24" spans="1:65" s="24" customFormat="1" ht="18.75" customHeight="1">
      <c r="A24" s="25">
        <v>19</v>
      </c>
      <c r="B24" s="26" t="s">
        <v>54</v>
      </c>
      <c r="C24" s="27">
        <v>62459</v>
      </c>
      <c r="D24" s="27">
        <v>54609</v>
      </c>
      <c r="E24" s="27">
        <f t="shared" si="0"/>
        <v>117068</v>
      </c>
      <c r="F24" s="27">
        <v>28379</v>
      </c>
      <c r="G24" s="27">
        <v>25849</v>
      </c>
      <c r="H24" s="27">
        <f t="shared" si="1"/>
        <v>54228</v>
      </c>
      <c r="I24" s="27">
        <v>25200</v>
      </c>
      <c r="J24" s="27">
        <v>24649</v>
      </c>
      <c r="K24" s="27">
        <f t="shared" si="2"/>
        <v>49849</v>
      </c>
      <c r="L24" s="27">
        <v>22954</v>
      </c>
      <c r="M24" s="27">
        <v>21110</v>
      </c>
      <c r="N24" s="27">
        <f t="shared" si="3"/>
        <v>44064</v>
      </c>
      <c r="O24" s="27">
        <v>19817</v>
      </c>
      <c r="P24" s="27">
        <v>18517</v>
      </c>
      <c r="Q24" s="27">
        <f t="shared" si="4"/>
        <v>38334</v>
      </c>
      <c r="R24" s="27">
        <v>17451</v>
      </c>
      <c r="S24" s="27">
        <v>15878</v>
      </c>
      <c r="T24" s="27">
        <f t="shared" si="5"/>
        <v>33329</v>
      </c>
      <c r="U24" s="27">
        <f t="shared" si="13"/>
        <v>113801</v>
      </c>
      <c r="V24" s="27">
        <f t="shared" si="13"/>
        <v>106003</v>
      </c>
      <c r="W24" s="27">
        <f t="shared" si="14"/>
        <v>219804</v>
      </c>
      <c r="X24" s="27">
        <v>15717</v>
      </c>
      <c r="Y24" s="27">
        <v>15796</v>
      </c>
      <c r="Z24" s="27">
        <f t="shared" si="6"/>
        <v>31513</v>
      </c>
      <c r="AA24" s="27">
        <v>15270</v>
      </c>
      <c r="AB24" s="27">
        <v>14120</v>
      </c>
      <c r="AC24" s="27">
        <f t="shared" si="7"/>
        <v>29390</v>
      </c>
      <c r="AD24" s="27">
        <v>15117</v>
      </c>
      <c r="AE24" s="27">
        <v>14206</v>
      </c>
      <c r="AF24" s="27">
        <f t="shared" si="8"/>
        <v>29323</v>
      </c>
      <c r="AG24" s="27">
        <f t="shared" si="15"/>
        <v>46104</v>
      </c>
      <c r="AH24" s="27">
        <f t="shared" si="15"/>
        <v>44122</v>
      </c>
      <c r="AI24" s="27">
        <f t="shared" si="16"/>
        <v>90226</v>
      </c>
      <c r="AJ24" s="27">
        <f t="shared" si="17"/>
        <v>159905</v>
      </c>
      <c r="AK24" s="27">
        <f t="shared" si="17"/>
        <v>150125</v>
      </c>
      <c r="AL24" s="27">
        <f t="shared" si="18"/>
        <v>310030</v>
      </c>
      <c r="AM24" s="27">
        <v>13209</v>
      </c>
      <c r="AN24" s="27">
        <v>12933</v>
      </c>
      <c r="AO24" s="27">
        <f t="shared" si="9"/>
        <v>26142</v>
      </c>
      <c r="AP24" s="27">
        <v>9969</v>
      </c>
      <c r="AQ24" s="27">
        <v>9899</v>
      </c>
      <c r="AR24" s="27">
        <f t="shared" si="10"/>
        <v>19868</v>
      </c>
      <c r="AS24" s="27">
        <f t="shared" si="19"/>
        <v>23178</v>
      </c>
      <c r="AT24" s="27">
        <f t="shared" si="19"/>
        <v>22832</v>
      </c>
      <c r="AU24" s="27">
        <f t="shared" si="20"/>
        <v>46010</v>
      </c>
      <c r="AV24" s="27">
        <f t="shared" si="21"/>
        <v>183083</v>
      </c>
      <c r="AW24" s="27">
        <f>V24+AH24+AT24</f>
        <v>172957</v>
      </c>
      <c r="AX24" s="27">
        <f t="shared" si="22"/>
        <v>356040</v>
      </c>
      <c r="AY24" s="27">
        <v>7009</v>
      </c>
      <c r="AZ24" s="27">
        <v>6306</v>
      </c>
      <c r="BA24" s="27">
        <f t="shared" si="26"/>
        <v>13315</v>
      </c>
      <c r="BB24" s="27">
        <v>6085</v>
      </c>
      <c r="BC24" s="27">
        <v>5703</v>
      </c>
      <c r="BD24" s="27">
        <f t="shared" si="11"/>
        <v>11788</v>
      </c>
      <c r="BE24" s="27">
        <f t="shared" si="27"/>
        <v>13094</v>
      </c>
      <c r="BF24" s="27">
        <f t="shared" si="27"/>
        <v>12009</v>
      </c>
      <c r="BG24" s="27">
        <f t="shared" si="28"/>
        <v>25103</v>
      </c>
      <c r="BH24" s="27">
        <f t="shared" si="12"/>
        <v>196177</v>
      </c>
      <c r="BI24" s="27">
        <f t="shared" si="12"/>
        <v>184966</v>
      </c>
      <c r="BJ24" s="27">
        <f t="shared" si="23"/>
        <v>381143</v>
      </c>
      <c r="BK24" s="27">
        <f t="shared" si="24"/>
        <v>258636</v>
      </c>
      <c r="BL24" s="27">
        <f t="shared" si="24"/>
        <v>239575</v>
      </c>
      <c r="BM24" s="27">
        <f t="shared" si="25"/>
        <v>498211</v>
      </c>
    </row>
    <row r="25" spans="1:65" ht="18.75" customHeight="1">
      <c r="A25" s="25">
        <v>20</v>
      </c>
      <c r="B25" s="2" t="s">
        <v>55</v>
      </c>
      <c r="C25" s="27"/>
      <c r="D25" s="27"/>
      <c r="E25" s="27"/>
      <c r="F25" s="27">
        <v>491811</v>
      </c>
      <c r="G25" s="27">
        <v>455756</v>
      </c>
      <c r="H25" s="27">
        <f t="shared" si="1"/>
        <v>947567</v>
      </c>
      <c r="I25" s="27">
        <v>486923</v>
      </c>
      <c r="J25" s="27">
        <v>454367</v>
      </c>
      <c r="K25" s="27">
        <f t="shared" si="2"/>
        <v>941290</v>
      </c>
      <c r="L25" s="27">
        <v>450109</v>
      </c>
      <c r="M25" s="27">
        <v>410793</v>
      </c>
      <c r="N25" s="27">
        <f t="shared" si="3"/>
        <v>860902</v>
      </c>
      <c r="O25" s="27">
        <v>434697</v>
      </c>
      <c r="P25" s="27">
        <v>410793</v>
      </c>
      <c r="Q25" s="27">
        <f t="shared" si="4"/>
        <v>845490</v>
      </c>
      <c r="R25" s="27">
        <v>421566</v>
      </c>
      <c r="S25" s="27">
        <v>421566</v>
      </c>
      <c r="T25" s="27">
        <f t="shared" si="5"/>
        <v>843132</v>
      </c>
      <c r="U25" s="27">
        <f t="shared" si="13"/>
        <v>2285106</v>
      </c>
      <c r="V25" s="27">
        <f t="shared" si="13"/>
        <v>2153275</v>
      </c>
      <c r="W25" s="27">
        <f t="shared" si="14"/>
        <v>4438381</v>
      </c>
      <c r="X25" s="27">
        <v>350275</v>
      </c>
      <c r="Y25" s="27">
        <v>350275</v>
      </c>
      <c r="Z25" s="27">
        <f t="shared" si="6"/>
        <v>700550</v>
      </c>
      <c r="AA25" s="27">
        <v>353283</v>
      </c>
      <c r="AB25" s="27">
        <v>335437</v>
      </c>
      <c r="AC25" s="27">
        <f t="shared" si="7"/>
        <v>688720</v>
      </c>
      <c r="AD25" s="27">
        <v>285786</v>
      </c>
      <c r="AE25" s="27">
        <v>252742</v>
      </c>
      <c r="AF25" s="27">
        <f t="shared" si="8"/>
        <v>538528</v>
      </c>
      <c r="AG25" s="27">
        <f t="shared" si="15"/>
        <v>989344</v>
      </c>
      <c r="AH25" s="27">
        <f t="shared" si="15"/>
        <v>938454</v>
      </c>
      <c r="AI25" s="27">
        <f t="shared" si="16"/>
        <v>1927798</v>
      </c>
      <c r="AJ25" s="27">
        <f t="shared" si="17"/>
        <v>3274450</v>
      </c>
      <c r="AK25" s="27">
        <f t="shared" si="17"/>
        <v>3091729</v>
      </c>
      <c r="AL25" s="27">
        <f t="shared" si="18"/>
        <v>6366179</v>
      </c>
      <c r="AM25" s="27">
        <v>288738</v>
      </c>
      <c r="AN25" s="27">
        <v>257092</v>
      </c>
      <c r="AO25" s="27">
        <f t="shared" si="9"/>
        <v>545830</v>
      </c>
      <c r="AP25" s="27">
        <v>233877</v>
      </c>
      <c r="AQ25" s="27">
        <v>221646</v>
      </c>
      <c r="AR25" s="27">
        <f t="shared" si="10"/>
        <v>455523</v>
      </c>
      <c r="AS25" s="27">
        <f t="shared" si="19"/>
        <v>522615</v>
      </c>
      <c r="AT25" s="27">
        <f t="shared" si="19"/>
        <v>478738</v>
      </c>
      <c r="AU25" s="27">
        <f t="shared" si="20"/>
        <v>1001353</v>
      </c>
      <c r="AV25" s="27">
        <f t="shared" si="21"/>
        <v>3797065</v>
      </c>
      <c r="AW25" s="27">
        <f t="shared" si="21"/>
        <v>3570467</v>
      </c>
      <c r="AX25" s="27">
        <f>AV25+AW25</f>
        <v>7367532</v>
      </c>
      <c r="AY25" s="27">
        <v>129029</v>
      </c>
      <c r="AZ25" s="27">
        <v>86020</v>
      </c>
      <c r="BA25" s="27">
        <f t="shared" si="26"/>
        <v>215049</v>
      </c>
      <c r="BB25" s="27">
        <v>123967</v>
      </c>
      <c r="BC25" s="27">
        <v>82649</v>
      </c>
      <c r="BD25" s="27">
        <f t="shared" si="11"/>
        <v>206616</v>
      </c>
      <c r="BE25" s="27">
        <f t="shared" si="27"/>
        <v>252996</v>
      </c>
      <c r="BF25" s="27">
        <f t="shared" si="27"/>
        <v>168669</v>
      </c>
      <c r="BG25" s="27">
        <f t="shared" si="28"/>
        <v>421665</v>
      </c>
      <c r="BH25" s="27">
        <f t="shared" si="12"/>
        <v>4050061</v>
      </c>
      <c r="BI25" s="27">
        <f t="shared" si="12"/>
        <v>3739136</v>
      </c>
      <c r="BJ25" s="27">
        <f t="shared" si="23"/>
        <v>7789197</v>
      </c>
      <c r="BK25" s="27">
        <f t="shared" si="24"/>
        <v>4050061</v>
      </c>
      <c r="BL25" s="27">
        <f t="shared" si="24"/>
        <v>3739136</v>
      </c>
      <c r="BM25" s="27">
        <f t="shared" si="25"/>
        <v>7789197</v>
      </c>
    </row>
    <row r="26" spans="1:65" ht="18.75" customHeight="1">
      <c r="A26" s="25">
        <v>21</v>
      </c>
      <c r="B26" s="26" t="s">
        <v>74</v>
      </c>
      <c r="C26" s="27"/>
      <c r="D26" s="27"/>
      <c r="E26" s="27"/>
      <c r="F26" s="27">
        <v>302679</v>
      </c>
      <c r="G26" s="27">
        <v>248096</v>
      </c>
      <c r="H26" s="27">
        <f t="shared" si="1"/>
        <v>550775</v>
      </c>
      <c r="I26" s="27">
        <v>302907</v>
      </c>
      <c r="J26" s="27">
        <v>247491</v>
      </c>
      <c r="K26" s="27">
        <f t="shared" si="2"/>
        <v>550398</v>
      </c>
      <c r="L26" s="27">
        <v>283183</v>
      </c>
      <c r="M26" s="27">
        <v>230988</v>
      </c>
      <c r="N26" s="27">
        <f t="shared" si="3"/>
        <v>514171</v>
      </c>
      <c r="O26" s="27">
        <v>273283</v>
      </c>
      <c r="P26" s="27">
        <v>216463</v>
      </c>
      <c r="Q26" s="27">
        <f>O26+P26</f>
        <v>489746</v>
      </c>
      <c r="R26" s="27">
        <v>270506</v>
      </c>
      <c r="S26" s="27">
        <v>212003</v>
      </c>
      <c r="T26" s="27">
        <f t="shared" si="5"/>
        <v>482509</v>
      </c>
      <c r="U26" s="27">
        <f t="shared" si="13"/>
        <v>1432558</v>
      </c>
      <c r="V26" s="27">
        <f t="shared" si="13"/>
        <v>1155041</v>
      </c>
      <c r="W26" s="27">
        <f t="shared" si="14"/>
        <v>2587599</v>
      </c>
      <c r="X26" s="27">
        <v>263217</v>
      </c>
      <c r="Y26" s="27">
        <v>206140</v>
      </c>
      <c r="Z26" s="27">
        <f t="shared" si="6"/>
        <v>469357</v>
      </c>
      <c r="AA26" s="27">
        <v>274885</v>
      </c>
      <c r="AB26" s="27">
        <v>212065</v>
      </c>
      <c r="AC26" s="27">
        <f t="shared" si="7"/>
        <v>486950</v>
      </c>
      <c r="AD26" s="27">
        <v>248795</v>
      </c>
      <c r="AE26" s="27">
        <v>196207</v>
      </c>
      <c r="AF26" s="27">
        <f t="shared" si="8"/>
        <v>445002</v>
      </c>
      <c r="AG26" s="27">
        <f t="shared" si="15"/>
        <v>786897</v>
      </c>
      <c r="AH26" s="27">
        <f t="shared" si="15"/>
        <v>614412</v>
      </c>
      <c r="AI26" s="27">
        <f t="shared" si="16"/>
        <v>1401309</v>
      </c>
      <c r="AJ26" s="27">
        <f t="shared" si="17"/>
        <v>2219455</v>
      </c>
      <c r="AK26" s="27">
        <f t="shared" si="17"/>
        <v>1769453</v>
      </c>
      <c r="AL26" s="27">
        <f t="shared" si="18"/>
        <v>3988908</v>
      </c>
      <c r="AM26" s="27">
        <v>251796</v>
      </c>
      <c r="AN26" s="27">
        <v>197112</v>
      </c>
      <c r="AO26" s="27">
        <f t="shared" si="9"/>
        <v>448908</v>
      </c>
      <c r="AP26" s="27">
        <v>214275</v>
      </c>
      <c r="AQ26" s="27">
        <v>176993</v>
      </c>
      <c r="AR26" s="27">
        <f t="shared" si="10"/>
        <v>391268</v>
      </c>
      <c r="AS26" s="27">
        <f t="shared" si="19"/>
        <v>466071</v>
      </c>
      <c r="AT26" s="27">
        <f t="shared" si="19"/>
        <v>374105</v>
      </c>
      <c r="AU26" s="27">
        <f t="shared" si="20"/>
        <v>840176</v>
      </c>
      <c r="AV26" s="27">
        <f t="shared" si="21"/>
        <v>2685526</v>
      </c>
      <c r="AW26" s="27">
        <f t="shared" si="21"/>
        <v>2143558</v>
      </c>
      <c r="AX26" s="27">
        <f t="shared" si="22"/>
        <v>4829084</v>
      </c>
      <c r="AY26" s="27">
        <v>163928</v>
      </c>
      <c r="AZ26" s="27">
        <v>135350</v>
      </c>
      <c r="BA26" s="27">
        <f t="shared" si="26"/>
        <v>299278</v>
      </c>
      <c r="BB26" s="27">
        <v>138075</v>
      </c>
      <c r="BC26" s="27">
        <v>121862</v>
      </c>
      <c r="BD26" s="27">
        <f t="shared" si="11"/>
        <v>259937</v>
      </c>
      <c r="BE26" s="27">
        <f t="shared" si="27"/>
        <v>302003</v>
      </c>
      <c r="BF26" s="27">
        <f t="shared" si="27"/>
        <v>257212</v>
      </c>
      <c r="BG26" s="27">
        <f t="shared" si="28"/>
        <v>559215</v>
      </c>
      <c r="BH26" s="27">
        <f t="shared" si="12"/>
        <v>2987529</v>
      </c>
      <c r="BI26" s="27">
        <f t="shared" si="12"/>
        <v>2400770</v>
      </c>
      <c r="BJ26" s="27">
        <f t="shared" si="23"/>
        <v>5388299</v>
      </c>
      <c r="BK26" s="27">
        <f t="shared" si="24"/>
        <v>2987529</v>
      </c>
      <c r="BL26" s="27">
        <f t="shared" si="24"/>
        <v>2400770</v>
      </c>
      <c r="BM26" s="27">
        <f t="shared" si="25"/>
        <v>5388299</v>
      </c>
    </row>
    <row r="27" spans="1:65" ht="18.75" customHeight="1">
      <c r="A27" s="25">
        <v>22</v>
      </c>
      <c r="B27" s="26" t="s">
        <v>32</v>
      </c>
      <c r="C27" s="27">
        <v>368715</v>
      </c>
      <c r="D27" s="27">
        <v>262021</v>
      </c>
      <c r="E27" s="27">
        <f t="shared" si="0"/>
        <v>630736</v>
      </c>
      <c r="F27" s="27">
        <v>1065973</v>
      </c>
      <c r="G27" s="27">
        <v>930779</v>
      </c>
      <c r="H27" s="27">
        <f t="shared" si="1"/>
        <v>1996752</v>
      </c>
      <c r="I27" s="27">
        <v>1021771</v>
      </c>
      <c r="J27" s="27">
        <v>930801</v>
      </c>
      <c r="K27" s="27">
        <f t="shared" si="2"/>
        <v>1952572</v>
      </c>
      <c r="L27" s="27">
        <v>898382</v>
      </c>
      <c r="M27" s="27">
        <v>807464</v>
      </c>
      <c r="N27" s="27">
        <f t="shared" si="3"/>
        <v>1705846</v>
      </c>
      <c r="O27" s="27">
        <v>816206</v>
      </c>
      <c r="P27" s="27">
        <v>715651</v>
      </c>
      <c r="Q27" s="27">
        <f t="shared" si="4"/>
        <v>1531857</v>
      </c>
      <c r="R27" s="27">
        <v>787667</v>
      </c>
      <c r="S27" s="27">
        <v>682466</v>
      </c>
      <c r="T27" s="27">
        <f t="shared" si="5"/>
        <v>1470133</v>
      </c>
      <c r="U27" s="27">
        <f t="shared" si="13"/>
        <v>4589999</v>
      </c>
      <c r="V27" s="27">
        <f t="shared" si="13"/>
        <v>4067161</v>
      </c>
      <c r="W27" s="27">
        <f t="shared" si="14"/>
        <v>8657160</v>
      </c>
      <c r="X27" s="27">
        <v>712266</v>
      </c>
      <c r="Y27" s="27">
        <v>585676</v>
      </c>
      <c r="Z27" s="27">
        <f t="shared" si="6"/>
        <v>1297942</v>
      </c>
      <c r="AA27" s="27">
        <v>697058</v>
      </c>
      <c r="AB27" s="27">
        <v>560011</v>
      </c>
      <c r="AC27" s="27">
        <f t="shared" si="7"/>
        <v>1257069</v>
      </c>
      <c r="AD27" s="27">
        <v>657837</v>
      </c>
      <c r="AE27" s="27">
        <v>527164</v>
      </c>
      <c r="AF27" s="27">
        <f t="shared" si="8"/>
        <v>1185001</v>
      </c>
      <c r="AG27" s="27">
        <f t="shared" si="15"/>
        <v>2067161</v>
      </c>
      <c r="AH27" s="27">
        <f t="shared" si="15"/>
        <v>1672851</v>
      </c>
      <c r="AI27" s="27">
        <f t="shared" si="16"/>
        <v>3740012</v>
      </c>
      <c r="AJ27" s="27">
        <f t="shared" si="17"/>
        <v>6657160</v>
      </c>
      <c r="AK27" s="27">
        <f t="shared" si="17"/>
        <v>5740012</v>
      </c>
      <c r="AL27" s="27">
        <f t="shared" si="18"/>
        <v>12397172</v>
      </c>
      <c r="AM27" s="27">
        <v>670775</v>
      </c>
      <c r="AN27" s="27">
        <v>450979</v>
      </c>
      <c r="AO27" s="27">
        <f t="shared" si="9"/>
        <v>1121754</v>
      </c>
      <c r="AP27" s="27">
        <v>593488</v>
      </c>
      <c r="AQ27" s="27">
        <v>387573</v>
      </c>
      <c r="AR27" s="27">
        <f t="shared" si="10"/>
        <v>981061</v>
      </c>
      <c r="AS27" s="27">
        <f t="shared" si="19"/>
        <v>1264263</v>
      </c>
      <c r="AT27" s="27">
        <f t="shared" si="19"/>
        <v>838552</v>
      </c>
      <c r="AU27" s="27">
        <f t="shared" si="20"/>
        <v>2102815</v>
      </c>
      <c r="AV27" s="27">
        <f t="shared" si="21"/>
        <v>7921423</v>
      </c>
      <c r="AW27" s="27">
        <f t="shared" si="21"/>
        <v>6578564</v>
      </c>
      <c r="AX27" s="27">
        <f t="shared" si="22"/>
        <v>14499987</v>
      </c>
      <c r="AY27" s="27">
        <v>420869</v>
      </c>
      <c r="AZ27" s="27">
        <v>258986</v>
      </c>
      <c r="BA27" s="27">
        <f t="shared" si="26"/>
        <v>679855</v>
      </c>
      <c r="BB27" s="27">
        <v>413722</v>
      </c>
      <c r="BC27" s="27">
        <v>241780</v>
      </c>
      <c r="BD27" s="27">
        <f t="shared" si="11"/>
        <v>655502</v>
      </c>
      <c r="BE27" s="27">
        <f t="shared" si="27"/>
        <v>834591</v>
      </c>
      <c r="BF27" s="27">
        <f t="shared" si="27"/>
        <v>500766</v>
      </c>
      <c r="BG27" s="27">
        <f t="shared" si="28"/>
        <v>1335357</v>
      </c>
      <c r="BH27" s="27">
        <f t="shared" si="12"/>
        <v>8756014</v>
      </c>
      <c r="BI27" s="27">
        <f t="shared" si="12"/>
        <v>7079330</v>
      </c>
      <c r="BJ27" s="27">
        <f t="shared" si="23"/>
        <v>15835344</v>
      </c>
      <c r="BK27" s="27">
        <f t="shared" si="24"/>
        <v>9124729</v>
      </c>
      <c r="BL27" s="27">
        <f t="shared" si="24"/>
        <v>7341351</v>
      </c>
      <c r="BM27" s="27">
        <f t="shared" si="25"/>
        <v>16466080</v>
      </c>
    </row>
    <row r="28" spans="1:65" ht="18.75" customHeight="1">
      <c r="A28" s="25">
        <v>23</v>
      </c>
      <c r="B28" s="26" t="s">
        <v>33</v>
      </c>
      <c r="C28" s="27"/>
      <c r="D28" s="27"/>
      <c r="E28" s="27"/>
      <c r="F28" s="27">
        <v>7432</v>
      </c>
      <c r="G28" s="27">
        <v>6988</v>
      </c>
      <c r="H28" s="27">
        <f t="shared" si="1"/>
        <v>14420</v>
      </c>
      <c r="I28" s="27">
        <v>9392</v>
      </c>
      <c r="J28" s="27">
        <v>8889</v>
      </c>
      <c r="K28" s="27">
        <f t="shared" si="2"/>
        <v>18281</v>
      </c>
      <c r="L28" s="27">
        <v>7623</v>
      </c>
      <c r="M28" s="27">
        <v>7462</v>
      </c>
      <c r="N28" s="27">
        <f t="shared" si="3"/>
        <v>15085</v>
      </c>
      <c r="O28" s="27">
        <v>7798</v>
      </c>
      <c r="P28" s="27">
        <v>7739</v>
      </c>
      <c r="Q28" s="27">
        <f t="shared" si="4"/>
        <v>15537</v>
      </c>
      <c r="R28" s="27">
        <v>7659</v>
      </c>
      <c r="S28" s="27">
        <v>7793</v>
      </c>
      <c r="T28" s="27">
        <f t="shared" si="5"/>
        <v>15452</v>
      </c>
      <c r="U28" s="27">
        <f t="shared" si="13"/>
        <v>39904</v>
      </c>
      <c r="V28" s="27">
        <f t="shared" si="13"/>
        <v>38871</v>
      </c>
      <c r="W28" s="27">
        <f t="shared" si="14"/>
        <v>78775</v>
      </c>
      <c r="X28" s="27">
        <v>7251</v>
      </c>
      <c r="Y28" s="27">
        <v>7917</v>
      </c>
      <c r="Z28" s="27">
        <f t="shared" si="6"/>
        <v>15168</v>
      </c>
      <c r="AA28" s="27">
        <v>5890</v>
      </c>
      <c r="AB28" s="27">
        <v>6931</v>
      </c>
      <c r="AC28" s="27">
        <f t="shared" si="7"/>
        <v>12821</v>
      </c>
      <c r="AD28" s="27">
        <v>5145</v>
      </c>
      <c r="AE28" s="27">
        <v>6098</v>
      </c>
      <c r="AF28" s="27">
        <f t="shared" si="8"/>
        <v>11243</v>
      </c>
      <c r="AG28" s="27">
        <f t="shared" si="15"/>
        <v>18286</v>
      </c>
      <c r="AH28" s="27">
        <f t="shared" si="15"/>
        <v>20946</v>
      </c>
      <c r="AI28" s="27">
        <f t="shared" si="16"/>
        <v>39232</v>
      </c>
      <c r="AJ28" s="27">
        <f t="shared" si="17"/>
        <v>58190</v>
      </c>
      <c r="AK28" s="27">
        <f t="shared" si="17"/>
        <v>59817</v>
      </c>
      <c r="AL28" s="27">
        <f t="shared" si="18"/>
        <v>118007</v>
      </c>
      <c r="AM28" s="27">
        <v>4282</v>
      </c>
      <c r="AN28" s="27">
        <v>5082</v>
      </c>
      <c r="AO28" s="27">
        <f t="shared" si="9"/>
        <v>9364</v>
      </c>
      <c r="AP28" s="27">
        <v>3452</v>
      </c>
      <c r="AQ28" s="27">
        <v>4061</v>
      </c>
      <c r="AR28" s="27">
        <f t="shared" si="10"/>
        <v>7513</v>
      </c>
      <c r="AS28" s="27">
        <f t="shared" si="19"/>
        <v>7734</v>
      </c>
      <c r="AT28" s="27">
        <f t="shared" si="19"/>
        <v>9143</v>
      </c>
      <c r="AU28" s="27">
        <f t="shared" si="20"/>
        <v>16877</v>
      </c>
      <c r="AV28" s="27">
        <f t="shared" si="21"/>
        <v>65924</v>
      </c>
      <c r="AW28" s="27">
        <f t="shared" si="21"/>
        <v>68960</v>
      </c>
      <c r="AX28" s="27">
        <f t="shared" si="22"/>
        <v>134884</v>
      </c>
      <c r="AY28" s="27">
        <v>2599</v>
      </c>
      <c r="AZ28" s="27">
        <v>2993</v>
      </c>
      <c r="BA28" s="27">
        <f t="shared" si="26"/>
        <v>5592</v>
      </c>
      <c r="BB28" s="27">
        <v>2044</v>
      </c>
      <c r="BC28" s="27">
        <v>2452</v>
      </c>
      <c r="BD28" s="27">
        <f t="shared" si="11"/>
        <v>4496</v>
      </c>
      <c r="BE28" s="27">
        <f t="shared" si="27"/>
        <v>4643</v>
      </c>
      <c r="BF28" s="27">
        <f t="shared" si="27"/>
        <v>5445</v>
      </c>
      <c r="BG28" s="27">
        <f t="shared" si="28"/>
        <v>10088</v>
      </c>
      <c r="BH28" s="27">
        <f t="shared" si="12"/>
        <v>70567</v>
      </c>
      <c r="BI28" s="27">
        <f t="shared" si="12"/>
        <v>74405</v>
      </c>
      <c r="BJ28" s="27">
        <f t="shared" si="23"/>
        <v>144972</v>
      </c>
      <c r="BK28" s="27">
        <f t="shared" si="24"/>
        <v>70567</v>
      </c>
      <c r="BL28" s="27">
        <f t="shared" si="24"/>
        <v>74405</v>
      </c>
      <c r="BM28" s="27">
        <f t="shared" si="25"/>
        <v>144972</v>
      </c>
    </row>
    <row r="29" spans="1:65" ht="18.75" customHeight="1">
      <c r="A29" s="25">
        <v>24</v>
      </c>
      <c r="B29" s="26" t="s">
        <v>34</v>
      </c>
      <c r="C29" s="27">
        <f>119789+281370</f>
        <v>401159</v>
      </c>
      <c r="D29" s="27">
        <f>106205+276753</f>
        <v>382958</v>
      </c>
      <c r="E29" s="27">
        <f t="shared" si="0"/>
        <v>784117</v>
      </c>
      <c r="F29" s="27">
        <f>620939+47688</f>
        <v>668627</v>
      </c>
      <c r="G29" s="27">
        <f>586200+55156</f>
        <v>641356</v>
      </c>
      <c r="H29" s="27">
        <f t="shared" si="1"/>
        <v>1309983</v>
      </c>
      <c r="I29" s="27">
        <f>613001+31269</f>
        <v>644270</v>
      </c>
      <c r="J29" s="27">
        <f>581625+48195</f>
        <v>629820</v>
      </c>
      <c r="K29" s="27">
        <f t="shared" si="2"/>
        <v>1274090</v>
      </c>
      <c r="L29" s="27">
        <f>619382+44686</f>
        <v>664068</v>
      </c>
      <c r="M29" s="27">
        <f>588804+54941</f>
        <v>643745</v>
      </c>
      <c r="N29" s="27">
        <f t="shared" si="3"/>
        <v>1307813</v>
      </c>
      <c r="O29" s="27">
        <f>634892+58353</f>
        <v>693245</v>
      </c>
      <c r="P29" s="27">
        <f>600495+64173</f>
        <v>664668</v>
      </c>
      <c r="Q29" s="27">
        <f t="shared" si="4"/>
        <v>1357913</v>
      </c>
      <c r="R29" s="27">
        <f>652212+75916</f>
        <v>728128</v>
      </c>
      <c r="S29" s="27">
        <f>612669+77801</f>
        <v>690470</v>
      </c>
      <c r="T29" s="27">
        <f t="shared" si="5"/>
        <v>1418598</v>
      </c>
      <c r="U29" s="27">
        <f t="shared" ref="U29" si="50">F29+I29+L29+O29+R29</f>
        <v>3398338</v>
      </c>
      <c r="V29" s="27">
        <f t="shared" ref="V29" si="51">G29+J29+M29+P29+S29</f>
        <v>3270059</v>
      </c>
      <c r="W29" s="27">
        <f t="shared" ref="W29" si="52">U29+V29</f>
        <v>6668397</v>
      </c>
      <c r="X29" s="27">
        <f>647278+39314</f>
        <v>686592</v>
      </c>
      <c r="Y29" s="27">
        <f>609602+41038</f>
        <v>650640</v>
      </c>
      <c r="Z29" s="27">
        <f t="shared" si="6"/>
        <v>1337232</v>
      </c>
      <c r="AA29" s="27">
        <f>624319+25168</f>
        <v>649487</v>
      </c>
      <c r="AB29" s="27">
        <f>582628+25063</f>
        <v>607691</v>
      </c>
      <c r="AC29" s="27">
        <f t="shared" si="7"/>
        <v>1257178</v>
      </c>
      <c r="AD29" s="27">
        <f>633095+10789</f>
        <v>643884</v>
      </c>
      <c r="AE29" s="27">
        <f>590123+29236</f>
        <v>619359</v>
      </c>
      <c r="AF29" s="27">
        <f t="shared" si="8"/>
        <v>1263243</v>
      </c>
      <c r="AG29" s="27">
        <f t="shared" ref="AG29" si="53">X29+AA29+AD29</f>
        <v>1979963</v>
      </c>
      <c r="AH29" s="27">
        <f t="shared" ref="AH29" si="54">Y29+AB29+AE29</f>
        <v>1877690</v>
      </c>
      <c r="AI29" s="27">
        <f t="shared" ref="AI29" si="55">AG29+AH29</f>
        <v>3857653</v>
      </c>
      <c r="AJ29" s="27">
        <f t="shared" ref="AJ29" si="56">U29+AG29</f>
        <v>5378301</v>
      </c>
      <c r="AK29" s="27">
        <f t="shared" ref="AK29" si="57">V29+AH29</f>
        <v>5147749</v>
      </c>
      <c r="AL29" s="27">
        <f t="shared" ref="AL29" si="58">AJ29+AK29</f>
        <v>10526050</v>
      </c>
      <c r="AM29" s="27">
        <v>526648</v>
      </c>
      <c r="AN29" s="27">
        <v>491677</v>
      </c>
      <c r="AO29" s="27">
        <f t="shared" si="9"/>
        <v>1018325</v>
      </c>
      <c r="AP29" s="27">
        <v>423837</v>
      </c>
      <c r="AQ29" s="27">
        <v>431827</v>
      </c>
      <c r="AR29" s="27">
        <f t="shared" si="10"/>
        <v>855664</v>
      </c>
      <c r="AS29" s="27">
        <f t="shared" ref="AS29" si="59">AM29+AP29</f>
        <v>950485</v>
      </c>
      <c r="AT29" s="27">
        <f t="shared" ref="AT29" si="60">AN29+AQ29</f>
        <v>923504</v>
      </c>
      <c r="AU29" s="27">
        <f t="shared" ref="AU29" si="61">AS29+AT29</f>
        <v>1873989</v>
      </c>
      <c r="AV29" s="27">
        <f t="shared" ref="AV29" si="62">U29+AG29+AS29</f>
        <v>6328786</v>
      </c>
      <c r="AW29" s="27">
        <f t="shared" ref="AW29" si="63">V29+AH29+AT29</f>
        <v>6071253</v>
      </c>
      <c r="AX29" s="27">
        <f t="shared" ref="AX29" si="64">AV29+AW29</f>
        <v>12400039</v>
      </c>
      <c r="AY29" s="27">
        <v>271478</v>
      </c>
      <c r="AZ29" s="27">
        <v>312618</v>
      </c>
      <c r="BA29" s="27">
        <f t="shared" si="26"/>
        <v>584096</v>
      </c>
      <c r="BB29" s="27">
        <v>272336</v>
      </c>
      <c r="BC29" s="27">
        <v>327800</v>
      </c>
      <c r="BD29" s="27">
        <f>BB29+BC29</f>
        <v>600136</v>
      </c>
      <c r="BE29" s="27">
        <f t="shared" ref="BE29" si="65">AY29+BB29</f>
        <v>543814</v>
      </c>
      <c r="BF29" s="27">
        <f t="shared" ref="BF29" si="66">AZ29+BC29</f>
        <v>640418</v>
      </c>
      <c r="BG29" s="27">
        <f t="shared" ref="BG29" si="67">BE29+BF29</f>
        <v>1184232</v>
      </c>
      <c r="BH29" s="27">
        <f t="shared" ref="BH29" si="68">U29+AG29+AS29+BE29</f>
        <v>6872600</v>
      </c>
      <c r="BI29" s="27">
        <f t="shared" ref="BI29" si="69">V29+AH29+AT29+BF29</f>
        <v>6711671</v>
      </c>
      <c r="BJ29" s="27">
        <f t="shared" ref="BJ29" si="70">BH29+BI29</f>
        <v>13584271</v>
      </c>
      <c r="BK29" s="27">
        <f t="shared" si="24"/>
        <v>7273759</v>
      </c>
      <c r="BL29" s="27">
        <f t="shared" si="24"/>
        <v>7094629</v>
      </c>
      <c r="BM29" s="27">
        <f t="shared" si="25"/>
        <v>14368388</v>
      </c>
    </row>
    <row r="30" spans="1:65" ht="18.75" customHeight="1">
      <c r="A30" s="25">
        <v>25</v>
      </c>
      <c r="B30" s="26" t="s">
        <v>35</v>
      </c>
      <c r="C30" s="27">
        <v>4973</v>
      </c>
      <c r="D30" s="27">
        <v>4215</v>
      </c>
      <c r="E30" s="27">
        <f t="shared" si="0"/>
        <v>9188</v>
      </c>
      <c r="F30" s="27">
        <v>42337</v>
      </c>
      <c r="G30" s="27">
        <v>40675</v>
      </c>
      <c r="H30" s="27">
        <f t="shared" si="1"/>
        <v>83012</v>
      </c>
      <c r="I30" s="27">
        <v>40468</v>
      </c>
      <c r="J30" s="27">
        <v>39042</v>
      </c>
      <c r="K30" s="27">
        <f t="shared" si="2"/>
        <v>79510</v>
      </c>
      <c r="L30" s="27">
        <v>40662</v>
      </c>
      <c r="M30" s="27">
        <v>39363</v>
      </c>
      <c r="N30" s="27">
        <f t="shared" si="3"/>
        <v>80025</v>
      </c>
      <c r="O30" s="27">
        <v>39089</v>
      </c>
      <c r="P30" s="27">
        <v>37439</v>
      </c>
      <c r="Q30" s="27">
        <f t="shared" si="4"/>
        <v>76528</v>
      </c>
      <c r="R30" s="27">
        <v>39782</v>
      </c>
      <c r="S30" s="27">
        <v>37604</v>
      </c>
      <c r="T30" s="27">
        <f t="shared" si="5"/>
        <v>77386</v>
      </c>
      <c r="U30" s="27">
        <f t="shared" si="13"/>
        <v>202338</v>
      </c>
      <c r="V30" s="27">
        <f t="shared" si="13"/>
        <v>194123</v>
      </c>
      <c r="W30" s="27">
        <f t="shared" si="14"/>
        <v>396461</v>
      </c>
      <c r="X30" s="27">
        <v>36494</v>
      </c>
      <c r="Y30" s="27">
        <v>34474</v>
      </c>
      <c r="Z30" s="27">
        <f t="shared" si="6"/>
        <v>70968</v>
      </c>
      <c r="AA30" s="27">
        <v>40430</v>
      </c>
      <c r="AB30" s="27">
        <v>38867</v>
      </c>
      <c r="AC30" s="27">
        <f t="shared" si="7"/>
        <v>79297</v>
      </c>
      <c r="AD30" s="27">
        <v>34774</v>
      </c>
      <c r="AE30" s="27">
        <v>33781</v>
      </c>
      <c r="AF30" s="27">
        <f t="shared" si="8"/>
        <v>68555</v>
      </c>
      <c r="AG30" s="27">
        <f t="shared" si="15"/>
        <v>111698</v>
      </c>
      <c r="AH30" s="27">
        <f t="shared" si="15"/>
        <v>107122</v>
      </c>
      <c r="AI30" s="27">
        <f t="shared" si="16"/>
        <v>218820</v>
      </c>
      <c r="AJ30" s="27">
        <f t="shared" si="17"/>
        <v>314036</v>
      </c>
      <c r="AK30" s="27">
        <f t="shared" si="17"/>
        <v>301245</v>
      </c>
      <c r="AL30" s="27">
        <f t="shared" si="18"/>
        <v>615281</v>
      </c>
      <c r="AM30" s="27">
        <v>36362</v>
      </c>
      <c r="AN30" s="27">
        <v>35152</v>
      </c>
      <c r="AO30" s="27">
        <f t="shared" si="9"/>
        <v>71514</v>
      </c>
      <c r="AP30" s="27">
        <v>27320</v>
      </c>
      <c r="AQ30" s="27">
        <v>26734</v>
      </c>
      <c r="AR30" s="27">
        <f t="shared" si="10"/>
        <v>54054</v>
      </c>
      <c r="AS30" s="27">
        <f t="shared" si="19"/>
        <v>63682</v>
      </c>
      <c r="AT30" s="27">
        <f t="shared" si="19"/>
        <v>61886</v>
      </c>
      <c r="AU30" s="27">
        <f t="shared" si="20"/>
        <v>125568</v>
      </c>
      <c r="AV30" s="27">
        <f t="shared" si="21"/>
        <v>377718</v>
      </c>
      <c r="AW30" s="27">
        <f t="shared" si="21"/>
        <v>363131</v>
      </c>
      <c r="AX30" s="27">
        <f t="shared" si="22"/>
        <v>740849</v>
      </c>
      <c r="AY30" s="27">
        <v>13986</v>
      </c>
      <c r="AZ30" s="27">
        <v>10420</v>
      </c>
      <c r="BA30" s="27">
        <f t="shared" si="26"/>
        <v>24406</v>
      </c>
      <c r="BB30" s="27">
        <v>12813</v>
      </c>
      <c r="BC30" s="27">
        <v>9360</v>
      </c>
      <c r="BD30" s="27">
        <f t="shared" si="11"/>
        <v>22173</v>
      </c>
      <c r="BE30" s="27">
        <f>AY30+BB30</f>
        <v>26799</v>
      </c>
      <c r="BF30" s="27">
        <f t="shared" si="27"/>
        <v>19780</v>
      </c>
      <c r="BG30" s="27">
        <f t="shared" si="28"/>
        <v>46579</v>
      </c>
      <c r="BH30" s="27">
        <f t="shared" si="12"/>
        <v>404517</v>
      </c>
      <c r="BI30" s="27">
        <f t="shared" si="12"/>
        <v>382911</v>
      </c>
      <c r="BJ30" s="27">
        <f t="shared" si="23"/>
        <v>787428</v>
      </c>
      <c r="BK30" s="27">
        <f t="shared" si="24"/>
        <v>409490</v>
      </c>
      <c r="BL30" s="27">
        <f t="shared" si="24"/>
        <v>387126</v>
      </c>
      <c r="BM30" s="27">
        <f t="shared" si="25"/>
        <v>796616</v>
      </c>
    </row>
    <row r="31" spans="1:65" ht="18.75" customHeight="1">
      <c r="A31" s="25">
        <v>26</v>
      </c>
      <c r="B31" s="26" t="s">
        <v>36</v>
      </c>
      <c r="C31" s="27"/>
      <c r="D31" s="27"/>
      <c r="E31" s="27"/>
      <c r="F31" s="27">
        <v>3398624</v>
      </c>
      <c r="G31" s="27">
        <v>3133015</v>
      </c>
      <c r="H31" s="27">
        <f t="shared" si="1"/>
        <v>6531639</v>
      </c>
      <c r="I31" s="27">
        <v>3073415</v>
      </c>
      <c r="J31" s="27">
        <v>2959324</v>
      </c>
      <c r="K31" s="27">
        <f t="shared" si="2"/>
        <v>6032739</v>
      </c>
      <c r="L31" s="27">
        <v>3065609</v>
      </c>
      <c r="M31" s="27">
        <v>2938114</v>
      </c>
      <c r="N31" s="27">
        <f t="shared" si="3"/>
        <v>6003723</v>
      </c>
      <c r="O31" s="27">
        <v>2941820</v>
      </c>
      <c r="P31" s="27">
        <v>2681243</v>
      </c>
      <c r="Q31" s="27">
        <f t="shared" si="4"/>
        <v>5623063</v>
      </c>
      <c r="R31" s="27">
        <v>2611047</v>
      </c>
      <c r="S31" s="27">
        <v>2190624</v>
      </c>
      <c r="T31" s="27">
        <f t="shared" si="5"/>
        <v>4801671</v>
      </c>
      <c r="U31" s="27">
        <f t="shared" si="13"/>
        <v>15090515</v>
      </c>
      <c r="V31" s="27">
        <f t="shared" si="13"/>
        <v>13902320</v>
      </c>
      <c r="W31" s="27">
        <f t="shared" si="14"/>
        <v>28992835</v>
      </c>
      <c r="X31" s="27">
        <v>2070526</v>
      </c>
      <c r="Y31" s="27">
        <v>1744615</v>
      </c>
      <c r="Z31" s="27">
        <f t="shared" si="6"/>
        <v>3815141</v>
      </c>
      <c r="AA31" s="27">
        <v>1966403</v>
      </c>
      <c r="AB31" s="27">
        <v>1562209</v>
      </c>
      <c r="AC31" s="27">
        <f t="shared" si="7"/>
        <v>3528612</v>
      </c>
      <c r="AD31" s="27">
        <v>1900536</v>
      </c>
      <c r="AE31" s="27">
        <v>1583700</v>
      </c>
      <c r="AF31" s="27">
        <f t="shared" si="8"/>
        <v>3484236</v>
      </c>
      <c r="AG31" s="27">
        <f t="shared" si="15"/>
        <v>5937465</v>
      </c>
      <c r="AH31" s="27">
        <f t="shared" si="15"/>
        <v>4890524</v>
      </c>
      <c r="AI31" s="27">
        <f t="shared" si="16"/>
        <v>10827989</v>
      </c>
      <c r="AJ31" s="27">
        <f t="shared" si="17"/>
        <v>21027980</v>
      </c>
      <c r="AK31" s="27">
        <f t="shared" si="17"/>
        <v>18792844</v>
      </c>
      <c r="AL31" s="27">
        <f t="shared" si="18"/>
        <v>39820824</v>
      </c>
      <c r="AM31" s="27">
        <v>1981188</v>
      </c>
      <c r="AN31" s="27">
        <v>1440394</v>
      </c>
      <c r="AO31" s="27">
        <f t="shared" si="9"/>
        <v>3421582</v>
      </c>
      <c r="AP31" s="27">
        <v>1929111</v>
      </c>
      <c r="AQ31" s="27">
        <v>1480309</v>
      </c>
      <c r="AR31" s="27">
        <f t="shared" si="10"/>
        <v>3409420</v>
      </c>
      <c r="AS31" s="27">
        <f t="shared" si="19"/>
        <v>3910299</v>
      </c>
      <c r="AT31" s="27">
        <f t="shared" si="19"/>
        <v>2920703</v>
      </c>
      <c r="AU31" s="27">
        <f t="shared" si="20"/>
        <v>6831002</v>
      </c>
      <c r="AV31" s="27">
        <f t="shared" si="21"/>
        <v>24938279</v>
      </c>
      <c r="AW31" s="27">
        <f t="shared" si="21"/>
        <v>21713547</v>
      </c>
      <c r="AX31" s="27">
        <f t="shared" si="22"/>
        <v>46651826</v>
      </c>
      <c r="AY31" s="27">
        <v>1136863</v>
      </c>
      <c r="AZ31" s="27">
        <v>821318</v>
      </c>
      <c r="BA31" s="27">
        <f t="shared" si="26"/>
        <v>1958181</v>
      </c>
      <c r="BB31" s="27">
        <v>1053772</v>
      </c>
      <c r="BC31" s="27">
        <v>837563</v>
      </c>
      <c r="BD31" s="27">
        <f t="shared" si="11"/>
        <v>1891335</v>
      </c>
      <c r="BE31" s="27">
        <f t="shared" si="27"/>
        <v>2190635</v>
      </c>
      <c r="BF31" s="27">
        <f t="shared" si="27"/>
        <v>1658881</v>
      </c>
      <c r="BG31" s="27">
        <f t="shared" si="28"/>
        <v>3849516</v>
      </c>
      <c r="BH31" s="27">
        <f t="shared" si="12"/>
        <v>27128914</v>
      </c>
      <c r="BI31" s="27">
        <f t="shared" si="12"/>
        <v>23372428</v>
      </c>
      <c r="BJ31" s="27">
        <f t="shared" si="23"/>
        <v>50501342</v>
      </c>
      <c r="BK31" s="27">
        <f t="shared" si="24"/>
        <v>27128914</v>
      </c>
      <c r="BL31" s="27">
        <f t="shared" si="24"/>
        <v>23372428</v>
      </c>
      <c r="BM31" s="27">
        <f t="shared" si="25"/>
        <v>50501342</v>
      </c>
    </row>
    <row r="32" spans="1:65" ht="18.75" customHeight="1">
      <c r="A32" s="25">
        <v>27</v>
      </c>
      <c r="B32" s="26" t="s">
        <v>37</v>
      </c>
      <c r="C32" s="27"/>
      <c r="D32" s="27"/>
      <c r="E32" s="27"/>
      <c r="F32" s="27">
        <v>121514</v>
      </c>
      <c r="G32" s="27">
        <v>108103</v>
      </c>
      <c r="H32" s="27">
        <f t="shared" si="1"/>
        <v>229617</v>
      </c>
      <c r="I32" s="27">
        <v>111024</v>
      </c>
      <c r="J32" s="27">
        <v>99500</v>
      </c>
      <c r="K32" s="27">
        <f t="shared" si="2"/>
        <v>210524</v>
      </c>
      <c r="L32" s="27">
        <v>106020</v>
      </c>
      <c r="M32" s="27">
        <v>96757</v>
      </c>
      <c r="N32" s="27">
        <f t="shared" si="3"/>
        <v>202777</v>
      </c>
      <c r="O32" s="27">
        <v>101957</v>
      </c>
      <c r="P32" s="27">
        <v>93304</v>
      </c>
      <c r="Q32" s="27">
        <f t="shared" si="4"/>
        <v>195261</v>
      </c>
      <c r="R32" s="27">
        <v>100109</v>
      </c>
      <c r="S32" s="27">
        <v>92872</v>
      </c>
      <c r="T32" s="27">
        <f>R32+S32</f>
        <v>192981</v>
      </c>
      <c r="U32" s="27">
        <f t="shared" si="13"/>
        <v>540624</v>
      </c>
      <c r="V32" s="27">
        <f t="shared" si="13"/>
        <v>490536</v>
      </c>
      <c r="W32" s="27">
        <f t="shared" si="14"/>
        <v>1031160</v>
      </c>
      <c r="X32" s="27">
        <v>95654</v>
      </c>
      <c r="Y32" s="27">
        <v>90725</v>
      </c>
      <c r="Z32" s="27">
        <f>X32+Y32</f>
        <v>186379</v>
      </c>
      <c r="AA32" s="27">
        <v>95374</v>
      </c>
      <c r="AB32" s="27">
        <v>90406</v>
      </c>
      <c r="AC32" s="27">
        <f t="shared" si="7"/>
        <v>185780</v>
      </c>
      <c r="AD32" s="27">
        <v>91937</v>
      </c>
      <c r="AE32" s="27">
        <v>87063</v>
      </c>
      <c r="AF32" s="27">
        <f t="shared" si="8"/>
        <v>179000</v>
      </c>
      <c r="AG32" s="27">
        <f t="shared" si="15"/>
        <v>282965</v>
      </c>
      <c r="AH32" s="27">
        <f t="shared" si="15"/>
        <v>268194</v>
      </c>
      <c r="AI32" s="27">
        <f t="shared" si="16"/>
        <v>551159</v>
      </c>
      <c r="AJ32" s="27">
        <f t="shared" si="17"/>
        <v>823589</v>
      </c>
      <c r="AK32" s="27">
        <f t="shared" si="17"/>
        <v>758730</v>
      </c>
      <c r="AL32" s="27">
        <f t="shared" si="18"/>
        <v>1582319</v>
      </c>
      <c r="AM32" s="27">
        <v>98151</v>
      </c>
      <c r="AN32" s="27">
        <v>86033</v>
      </c>
      <c r="AO32" s="27">
        <f t="shared" si="9"/>
        <v>184184</v>
      </c>
      <c r="AP32" s="27">
        <v>99477</v>
      </c>
      <c r="AQ32" s="27">
        <v>89760</v>
      </c>
      <c r="AR32" s="27">
        <f t="shared" si="10"/>
        <v>189237</v>
      </c>
      <c r="AS32" s="27">
        <f t="shared" si="19"/>
        <v>197628</v>
      </c>
      <c r="AT32" s="27">
        <f t="shared" si="19"/>
        <v>175793</v>
      </c>
      <c r="AU32" s="27">
        <f t="shared" si="20"/>
        <v>373421</v>
      </c>
      <c r="AV32" s="27">
        <f t="shared" si="21"/>
        <v>1021217</v>
      </c>
      <c r="AW32" s="27">
        <f t="shared" si="21"/>
        <v>934523</v>
      </c>
      <c r="AX32" s="27">
        <f t="shared" si="22"/>
        <v>1955740</v>
      </c>
      <c r="AY32" s="27">
        <v>71841</v>
      </c>
      <c r="AZ32" s="27">
        <v>64714</v>
      </c>
      <c r="BA32" s="27">
        <f t="shared" si="26"/>
        <v>136555</v>
      </c>
      <c r="BB32" s="27">
        <v>70142</v>
      </c>
      <c r="BC32" s="27">
        <v>65662</v>
      </c>
      <c r="BD32" s="27">
        <f t="shared" si="11"/>
        <v>135804</v>
      </c>
      <c r="BE32" s="27">
        <f t="shared" si="27"/>
        <v>141983</v>
      </c>
      <c r="BF32" s="27">
        <f t="shared" si="27"/>
        <v>130376</v>
      </c>
      <c r="BG32" s="27">
        <f t="shared" si="28"/>
        <v>272359</v>
      </c>
      <c r="BH32" s="27">
        <f t="shared" si="12"/>
        <v>1163200</v>
      </c>
      <c r="BI32" s="27">
        <f t="shared" si="12"/>
        <v>1064899</v>
      </c>
      <c r="BJ32" s="27">
        <f t="shared" si="23"/>
        <v>2228099</v>
      </c>
      <c r="BK32" s="27">
        <f t="shared" si="24"/>
        <v>1163200</v>
      </c>
      <c r="BL32" s="27">
        <f t="shared" si="24"/>
        <v>1064899</v>
      </c>
      <c r="BM32" s="27">
        <f t="shared" si="25"/>
        <v>2228099</v>
      </c>
    </row>
    <row r="33" spans="1:65" ht="18.75" customHeight="1">
      <c r="A33" s="25">
        <v>28</v>
      </c>
      <c r="B33" s="26" t="s">
        <v>38</v>
      </c>
      <c r="C33" s="27"/>
      <c r="D33" s="27"/>
      <c r="E33" s="27"/>
      <c r="F33" s="27">
        <v>1246855</v>
      </c>
      <c r="G33" s="27">
        <v>1191674</v>
      </c>
      <c r="H33" s="27">
        <f>F33+G33</f>
        <v>2438529</v>
      </c>
      <c r="I33" s="27">
        <v>944416</v>
      </c>
      <c r="J33" s="27">
        <v>915644</v>
      </c>
      <c r="K33" s="27">
        <f t="shared" si="2"/>
        <v>1860060</v>
      </c>
      <c r="L33" s="27">
        <v>921670</v>
      </c>
      <c r="M33" s="27">
        <v>907207</v>
      </c>
      <c r="N33" s="27">
        <f t="shared" si="3"/>
        <v>1828877</v>
      </c>
      <c r="O33" s="27">
        <v>944343</v>
      </c>
      <c r="P33" s="27">
        <v>934283</v>
      </c>
      <c r="Q33" s="27">
        <f t="shared" si="4"/>
        <v>1878626</v>
      </c>
      <c r="R33" s="27">
        <v>903422</v>
      </c>
      <c r="S33" s="27">
        <v>924700</v>
      </c>
      <c r="T33" s="27">
        <f t="shared" si="5"/>
        <v>1828122</v>
      </c>
      <c r="U33" s="27">
        <f t="shared" si="13"/>
        <v>4960706</v>
      </c>
      <c r="V33" s="27">
        <f t="shared" si="13"/>
        <v>4873508</v>
      </c>
      <c r="W33" s="27">
        <f t="shared" si="14"/>
        <v>9834214</v>
      </c>
      <c r="X33" s="27">
        <v>794260</v>
      </c>
      <c r="Y33" s="27">
        <v>836843</v>
      </c>
      <c r="Z33" s="27">
        <f t="shared" si="6"/>
        <v>1631103</v>
      </c>
      <c r="AA33" s="27">
        <v>750460</v>
      </c>
      <c r="AB33" s="27">
        <v>813686</v>
      </c>
      <c r="AC33" s="27">
        <f t="shared" si="7"/>
        <v>1564146</v>
      </c>
      <c r="AD33" s="27">
        <v>697542</v>
      </c>
      <c r="AE33" s="27">
        <v>769521</v>
      </c>
      <c r="AF33" s="27">
        <f t="shared" si="8"/>
        <v>1467063</v>
      </c>
      <c r="AG33" s="27">
        <f t="shared" si="15"/>
        <v>2242262</v>
      </c>
      <c r="AH33" s="27">
        <f t="shared" si="15"/>
        <v>2420050</v>
      </c>
      <c r="AI33" s="27">
        <f t="shared" si="16"/>
        <v>4662312</v>
      </c>
      <c r="AJ33" s="27">
        <f t="shared" si="17"/>
        <v>7202968</v>
      </c>
      <c r="AK33" s="27">
        <f t="shared" si="17"/>
        <v>7293558</v>
      </c>
      <c r="AL33" s="27">
        <f t="shared" si="18"/>
        <v>14496526</v>
      </c>
      <c r="AM33" s="27">
        <v>618470</v>
      </c>
      <c r="AN33" s="27">
        <v>685324</v>
      </c>
      <c r="AO33" s="27">
        <f t="shared" si="9"/>
        <v>1303794</v>
      </c>
      <c r="AP33" s="27">
        <v>503914</v>
      </c>
      <c r="AQ33" s="27">
        <v>538572</v>
      </c>
      <c r="AR33" s="27">
        <f t="shared" si="10"/>
        <v>1042486</v>
      </c>
      <c r="AS33" s="27">
        <f t="shared" si="19"/>
        <v>1122384</v>
      </c>
      <c r="AT33" s="27">
        <f t="shared" si="19"/>
        <v>1223896</v>
      </c>
      <c r="AU33" s="27">
        <f t="shared" si="20"/>
        <v>2346280</v>
      </c>
      <c r="AV33" s="27">
        <f t="shared" si="21"/>
        <v>8325352</v>
      </c>
      <c r="AW33" s="27">
        <f t="shared" si="21"/>
        <v>8517454</v>
      </c>
      <c r="AX33" s="27">
        <f t="shared" si="22"/>
        <v>16842806</v>
      </c>
      <c r="AY33" s="27">
        <v>418446</v>
      </c>
      <c r="AZ33" s="27">
        <v>369478</v>
      </c>
      <c r="BA33" s="27">
        <f t="shared" si="26"/>
        <v>787924</v>
      </c>
      <c r="BB33" s="27">
        <v>363048</v>
      </c>
      <c r="BC33" s="27">
        <v>312402</v>
      </c>
      <c r="BD33" s="27">
        <f t="shared" si="11"/>
        <v>675450</v>
      </c>
      <c r="BE33" s="27">
        <f t="shared" si="27"/>
        <v>781494</v>
      </c>
      <c r="BF33" s="27">
        <f t="shared" si="27"/>
        <v>681880</v>
      </c>
      <c r="BG33" s="27">
        <f t="shared" si="28"/>
        <v>1463374</v>
      </c>
      <c r="BH33" s="27">
        <f t="shared" si="12"/>
        <v>9106846</v>
      </c>
      <c r="BI33" s="27">
        <f t="shared" si="12"/>
        <v>9199334</v>
      </c>
      <c r="BJ33" s="27">
        <f t="shared" si="23"/>
        <v>18306180</v>
      </c>
      <c r="BK33" s="27">
        <f t="shared" si="24"/>
        <v>9106846</v>
      </c>
      <c r="BL33" s="27">
        <f t="shared" si="24"/>
        <v>9199334</v>
      </c>
      <c r="BM33" s="27">
        <f t="shared" si="25"/>
        <v>18306180</v>
      </c>
    </row>
    <row r="34" spans="1:65" ht="18.75" customHeight="1">
      <c r="A34" s="25">
        <v>29</v>
      </c>
      <c r="B34" s="26" t="s">
        <v>39</v>
      </c>
      <c r="C34" s="27">
        <v>4249</v>
      </c>
      <c r="D34" s="27">
        <v>4072</v>
      </c>
      <c r="E34" s="27">
        <f t="shared" si="0"/>
        <v>8321</v>
      </c>
      <c r="F34" s="27">
        <v>3368</v>
      </c>
      <c r="G34" s="27">
        <v>3209</v>
      </c>
      <c r="H34" s="27">
        <f t="shared" si="1"/>
        <v>6577</v>
      </c>
      <c r="I34" s="27">
        <v>3177</v>
      </c>
      <c r="J34" s="27">
        <v>3138</v>
      </c>
      <c r="K34" s="27">
        <f t="shared" si="2"/>
        <v>6315</v>
      </c>
      <c r="L34" s="27">
        <v>3335</v>
      </c>
      <c r="M34" s="27">
        <v>3135</v>
      </c>
      <c r="N34" s="27">
        <f t="shared" si="3"/>
        <v>6470</v>
      </c>
      <c r="O34" s="27">
        <v>3336</v>
      </c>
      <c r="P34" s="27">
        <v>3126</v>
      </c>
      <c r="Q34" s="27">
        <f t="shared" si="4"/>
        <v>6462</v>
      </c>
      <c r="R34" s="27">
        <v>3359</v>
      </c>
      <c r="S34" s="27">
        <v>3240</v>
      </c>
      <c r="T34" s="27">
        <f t="shared" si="5"/>
        <v>6599</v>
      </c>
      <c r="U34" s="27">
        <f t="shared" si="13"/>
        <v>16575</v>
      </c>
      <c r="V34" s="27">
        <f t="shared" si="13"/>
        <v>15848</v>
      </c>
      <c r="W34" s="27">
        <f t="shared" si="14"/>
        <v>32423</v>
      </c>
      <c r="X34" s="27">
        <v>3582</v>
      </c>
      <c r="Y34" s="27">
        <v>3324</v>
      </c>
      <c r="Z34" s="27">
        <f t="shared" si="6"/>
        <v>6906</v>
      </c>
      <c r="AA34" s="27">
        <v>3528</v>
      </c>
      <c r="AB34" s="27">
        <v>3370</v>
      </c>
      <c r="AC34" s="27">
        <f t="shared" si="7"/>
        <v>6898</v>
      </c>
      <c r="AD34" s="27">
        <v>3697</v>
      </c>
      <c r="AE34" s="27">
        <v>3408</v>
      </c>
      <c r="AF34" s="27">
        <f t="shared" si="8"/>
        <v>7105</v>
      </c>
      <c r="AG34" s="27">
        <f t="shared" si="15"/>
        <v>10807</v>
      </c>
      <c r="AH34" s="27">
        <f t="shared" si="15"/>
        <v>10102</v>
      </c>
      <c r="AI34" s="27">
        <f t="shared" si="16"/>
        <v>20909</v>
      </c>
      <c r="AJ34" s="27">
        <f t="shared" si="17"/>
        <v>27382</v>
      </c>
      <c r="AK34" s="27">
        <f t="shared" si="17"/>
        <v>25950</v>
      </c>
      <c r="AL34" s="27">
        <f t="shared" si="18"/>
        <v>53332</v>
      </c>
      <c r="AM34" s="27">
        <v>3795</v>
      </c>
      <c r="AN34" s="27">
        <v>3343</v>
      </c>
      <c r="AO34" s="27">
        <f t="shared" si="9"/>
        <v>7138</v>
      </c>
      <c r="AP34" s="27">
        <v>3426</v>
      </c>
      <c r="AQ34" s="27">
        <v>3136</v>
      </c>
      <c r="AR34" s="27">
        <f t="shared" si="10"/>
        <v>6562</v>
      </c>
      <c r="AS34" s="27">
        <f t="shared" si="19"/>
        <v>7221</v>
      </c>
      <c r="AT34" s="27">
        <f t="shared" si="19"/>
        <v>6479</v>
      </c>
      <c r="AU34" s="27">
        <f t="shared" si="20"/>
        <v>13700</v>
      </c>
      <c r="AV34" s="27">
        <f t="shared" si="21"/>
        <v>34603</v>
      </c>
      <c r="AW34" s="27">
        <f t="shared" si="21"/>
        <v>32429</v>
      </c>
      <c r="AX34" s="27">
        <f t="shared" si="22"/>
        <v>67032</v>
      </c>
      <c r="AY34" s="27">
        <v>3409</v>
      </c>
      <c r="AZ34" s="27">
        <v>2970</v>
      </c>
      <c r="BA34" s="27">
        <f t="shared" si="26"/>
        <v>6379</v>
      </c>
      <c r="BB34" s="27">
        <v>2196</v>
      </c>
      <c r="BC34" s="27">
        <v>2203</v>
      </c>
      <c r="BD34" s="27">
        <f t="shared" si="11"/>
        <v>4399</v>
      </c>
      <c r="BE34" s="27">
        <f t="shared" si="27"/>
        <v>5605</v>
      </c>
      <c r="BF34" s="27">
        <f t="shared" si="27"/>
        <v>5173</v>
      </c>
      <c r="BG34" s="27">
        <f t="shared" si="28"/>
        <v>10778</v>
      </c>
      <c r="BH34" s="27">
        <f t="shared" si="12"/>
        <v>40208</v>
      </c>
      <c r="BI34" s="27">
        <f t="shared" si="12"/>
        <v>37602</v>
      </c>
      <c r="BJ34" s="27">
        <f t="shared" si="23"/>
        <v>77810</v>
      </c>
      <c r="BK34" s="27">
        <f t="shared" si="24"/>
        <v>44457</v>
      </c>
      <c r="BL34" s="27">
        <f t="shared" si="24"/>
        <v>41674</v>
      </c>
      <c r="BM34" s="27">
        <f t="shared" si="25"/>
        <v>86131</v>
      </c>
    </row>
    <row r="35" spans="1:65" ht="18.75" customHeight="1">
      <c r="A35" s="25">
        <v>30</v>
      </c>
      <c r="B35" s="26" t="s">
        <v>40</v>
      </c>
      <c r="C35" s="27">
        <v>9828</v>
      </c>
      <c r="D35" s="27">
        <v>8471</v>
      </c>
      <c r="E35" s="27">
        <f t="shared" si="0"/>
        <v>18299</v>
      </c>
      <c r="F35" s="27">
        <v>9147</v>
      </c>
      <c r="G35" s="27">
        <v>8151</v>
      </c>
      <c r="H35" s="27">
        <f t="shared" si="1"/>
        <v>17298</v>
      </c>
      <c r="I35" s="27">
        <v>10102</v>
      </c>
      <c r="J35" s="27">
        <v>9017</v>
      </c>
      <c r="K35" s="27">
        <f t="shared" si="2"/>
        <v>19119</v>
      </c>
      <c r="L35" s="27">
        <v>10681</v>
      </c>
      <c r="M35" s="27">
        <v>9736</v>
      </c>
      <c r="N35" s="27">
        <f t="shared" si="3"/>
        <v>20417</v>
      </c>
      <c r="O35" s="27">
        <v>11196</v>
      </c>
      <c r="P35" s="27">
        <v>9258</v>
      </c>
      <c r="Q35" s="27">
        <f t="shared" si="4"/>
        <v>20454</v>
      </c>
      <c r="R35" s="27">
        <v>11466</v>
      </c>
      <c r="S35" s="27">
        <v>9460</v>
      </c>
      <c r="T35" s="27">
        <f t="shared" si="5"/>
        <v>20926</v>
      </c>
      <c r="U35" s="27">
        <f t="shared" si="13"/>
        <v>52592</v>
      </c>
      <c r="V35" s="27">
        <f t="shared" si="13"/>
        <v>45622</v>
      </c>
      <c r="W35" s="27">
        <f t="shared" si="14"/>
        <v>98214</v>
      </c>
      <c r="X35" s="27">
        <v>11526</v>
      </c>
      <c r="Y35" s="27">
        <v>8968</v>
      </c>
      <c r="Z35" s="27">
        <f t="shared" si="6"/>
        <v>20494</v>
      </c>
      <c r="AA35" s="27">
        <v>11137</v>
      </c>
      <c r="AB35" s="27">
        <v>8881</v>
      </c>
      <c r="AC35" s="27">
        <f t="shared" si="7"/>
        <v>20018</v>
      </c>
      <c r="AD35" s="27">
        <v>10263</v>
      </c>
      <c r="AE35" s="27">
        <v>7880</v>
      </c>
      <c r="AF35" s="27">
        <f t="shared" si="8"/>
        <v>18143</v>
      </c>
      <c r="AG35" s="27">
        <f t="shared" si="15"/>
        <v>32926</v>
      </c>
      <c r="AH35" s="27">
        <f t="shared" si="15"/>
        <v>25729</v>
      </c>
      <c r="AI35" s="27">
        <f t="shared" si="16"/>
        <v>58655</v>
      </c>
      <c r="AJ35" s="27">
        <f t="shared" si="17"/>
        <v>85518</v>
      </c>
      <c r="AK35" s="27">
        <f t="shared" si="17"/>
        <v>71351</v>
      </c>
      <c r="AL35" s="27">
        <f t="shared" si="18"/>
        <v>156869</v>
      </c>
      <c r="AM35" s="27">
        <v>10085</v>
      </c>
      <c r="AN35" s="27">
        <v>7720</v>
      </c>
      <c r="AO35" s="27">
        <f t="shared" si="9"/>
        <v>17805</v>
      </c>
      <c r="AP35" s="27">
        <v>9545</v>
      </c>
      <c r="AQ35" s="27">
        <v>7806</v>
      </c>
      <c r="AR35" s="27">
        <f t="shared" si="10"/>
        <v>17351</v>
      </c>
      <c r="AS35" s="27">
        <f t="shared" si="19"/>
        <v>19630</v>
      </c>
      <c r="AT35" s="27">
        <f t="shared" si="19"/>
        <v>15526</v>
      </c>
      <c r="AU35" s="27">
        <f t="shared" si="20"/>
        <v>35156</v>
      </c>
      <c r="AV35" s="27">
        <f t="shared" si="21"/>
        <v>105148</v>
      </c>
      <c r="AW35" s="27">
        <f t="shared" si="21"/>
        <v>86877</v>
      </c>
      <c r="AX35" s="27">
        <f t="shared" si="22"/>
        <v>192025</v>
      </c>
      <c r="AY35" s="27">
        <v>10078</v>
      </c>
      <c r="AZ35" s="27">
        <v>7768</v>
      </c>
      <c r="BA35" s="27">
        <f t="shared" si="26"/>
        <v>17846</v>
      </c>
      <c r="BB35" s="27">
        <v>8115</v>
      </c>
      <c r="BC35" s="27">
        <v>6206</v>
      </c>
      <c r="BD35" s="27">
        <f t="shared" si="11"/>
        <v>14321</v>
      </c>
      <c r="BE35" s="27">
        <f t="shared" si="27"/>
        <v>18193</v>
      </c>
      <c r="BF35" s="27">
        <f t="shared" si="27"/>
        <v>13974</v>
      </c>
      <c r="BG35" s="27">
        <f t="shared" si="28"/>
        <v>32167</v>
      </c>
      <c r="BH35" s="27">
        <f t="shared" si="12"/>
        <v>123341</v>
      </c>
      <c r="BI35" s="27">
        <f t="shared" si="12"/>
        <v>100851</v>
      </c>
      <c r="BJ35" s="27">
        <f t="shared" si="23"/>
        <v>224192</v>
      </c>
      <c r="BK35" s="27">
        <f t="shared" si="24"/>
        <v>133169</v>
      </c>
      <c r="BL35" s="27">
        <f t="shared" si="24"/>
        <v>109322</v>
      </c>
      <c r="BM35" s="27">
        <f t="shared" si="25"/>
        <v>242491</v>
      </c>
    </row>
    <row r="36" spans="1:65" ht="18.75" customHeight="1">
      <c r="A36" s="25">
        <v>31</v>
      </c>
      <c r="B36" s="26" t="s">
        <v>41</v>
      </c>
      <c r="C36" s="27"/>
      <c r="D36" s="27"/>
      <c r="E36" s="27"/>
      <c r="F36" s="27">
        <v>4203</v>
      </c>
      <c r="G36" s="27">
        <v>3875</v>
      </c>
      <c r="H36" s="27">
        <f t="shared" si="1"/>
        <v>8078</v>
      </c>
      <c r="I36" s="27">
        <v>4133</v>
      </c>
      <c r="J36" s="27">
        <v>3698</v>
      </c>
      <c r="K36" s="27">
        <f t="shared" si="2"/>
        <v>7831</v>
      </c>
      <c r="L36" s="27">
        <v>4043</v>
      </c>
      <c r="M36" s="27">
        <v>3609</v>
      </c>
      <c r="N36" s="27">
        <f t="shared" si="3"/>
        <v>7652</v>
      </c>
      <c r="O36" s="27">
        <v>4167</v>
      </c>
      <c r="P36" s="27">
        <v>3769</v>
      </c>
      <c r="Q36" s="27">
        <f t="shared" si="4"/>
        <v>7936</v>
      </c>
      <c r="R36" s="27">
        <v>4239</v>
      </c>
      <c r="S36" s="27">
        <v>3645</v>
      </c>
      <c r="T36" s="27">
        <f t="shared" si="5"/>
        <v>7884</v>
      </c>
      <c r="U36" s="27">
        <f t="shared" si="13"/>
        <v>20785</v>
      </c>
      <c r="V36" s="27">
        <f t="shared" si="13"/>
        <v>18596</v>
      </c>
      <c r="W36" s="27">
        <f t="shared" si="14"/>
        <v>39381</v>
      </c>
      <c r="X36" s="27">
        <v>4039</v>
      </c>
      <c r="Y36" s="27">
        <v>3523</v>
      </c>
      <c r="Z36" s="27">
        <f t="shared" si="6"/>
        <v>7562</v>
      </c>
      <c r="AA36" s="27">
        <v>3758</v>
      </c>
      <c r="AB36" s="27">
        <v>3302</v>
      </c>
      <c r="AC36" s="27">
        <f t="shared" si="7"/>
        <v>7060</v>
      </c>
      <c r="AD36" s="27">
        <v>3307</v>
      </c>
      <c r="AE36" s="27">
        <v>2684</v>
      </c>
      <c r="AF36" s="27">
        <f t="shared" si="8"/>
        <v>5991</v>
      </c>
      <c r="AG36" s="27">
        <f t="shared" si="15"/>
        <v>11104</v>
      </c>
      <c r="AH36" s="27">
        <f t="shared" si="15"/>
        <v>9509</v>
      </c>
      <c r="AI36" s="27">
        <f t="shared" si="16"/>
        <v>20613</v>
      </c>
      <c r="AJ36" s="27">
        <f t="shared" si="17"/>
        <v>31889</v>
      </c>
      <c r="AK36" s="27">
        <f t="shared" si="17"/>
        <v>28105</v>
      </c>
      <c r="AL36" s="27">
        <f t="shared" si="18"/>
        <v>59994</v>
      </c>
      <c r="AM36" s="27">
        <v>2990</v>
      </c>
      <c r="AN36" s="27">
        <v>2350</v>
      </c>
      <c r="AO36" s="27">
        <f t="shared" si="9"/>
        <v>5340</v>
      </c>
      <c r="AP36" s="27">
        <v>2743</v>
      </c>
      <c r="AQ36" s="27">
        <v>1951</v>
      </c>
      <c r="AR36" s="27">
        <f t="shared" si="10"/>
        <v>4694</v>
      </c>
      <c r="AS36" s="27">
        <f t="shared" si="19"/>
        <v>5733</v>
      </c>
      <c r="AT36" s="27">
        <f t="shared" si="19"/>
        <v>4301</v>
      </c>
      <c r="AU36" s="27">
        <f t="shared" si="20"/>
        <v>10034</v>
      </c>
      <c r="AV36" s="27">
        <f t="shared" si="21"/>
        <v>37622</v>
      </c>
      <c r="AW36" s="27">
        <f t="shared" si="21"/>
        <v>32406</v>
      </c>
      <c r="AX36" s="27">
        <f t="shared" si="22"/>
        <v>70028</v>
      </c>
      <c r="AY36" s="27">
        <v>2245</v>
      </c>
      <c r="AZ36" s="27">
        <v>1504</v>
      </c>
      <c r="BA36" s="27">
        <f t="shared" si="26"/>
        <v>3749</v>
      </c>
      <c r="BB36" s="27">
        <v>1008</v>
      </c>
      <c r="BC36" s="27">
        <v>738</v>
      </c>
      <c r="BD36" s="27">
        <f t="shared" si="11"/>
        <v>1746</v>
      </c>
      <c r="BE36" s="27">
        <f t="shared" si="27"/>
        <v>3253</v>
      </c>
      <c r="BF36" s="27">
        <f t="shared" si="27"/>
        <v>2242</v>
      </c>
      <c r="BG36" s="27">
        <f t="shared" si="28"/>
        <v>5495</v>
      </c>
      <c r="BH36" s="27">
        <f t="shared" si="12"/>
        <v>40875</v>
      </c>
      <c r="BI36" s="27">
        <f t="shared" si="12"/>
        <v>34648</v>
      </c>
      <c r="BJ36" s="27">
        <f t="shared" si="23"/>
        <v>75523</v>
      </c>
      <c r="BK36" s="27">
        <f t="shared" si="24"/>
        <v>40875</v>
      </c>
      <c r="BL36" s="27">
        <f t="shared" si="24"/>
        <v>34648</v>
      </c>
      <c r="BM36" s="27">
        <f t="shared" si="25"/>
        <v>75523</v>
      </c>
    </row>
    <row r="37" spans="1:65" ht="18.75" customHeight="1">
      <c r="A37" s="25">
        <v>32</v>
      </c>
      <c r="B37" s="26" t="s">
        <v>42</v>
      </c>
      <c r="C37" s="27">
        <v>1888</v>
      </c>
      <c r="D37" s="27">
        <v>1545</v>
      </c>
      <c r="E37" s="27">
        <f t="shared" si="0"/>
        <v>3433</v>
      </c>
      <c r="F37" s="27">
        <v>2003</v>
      </c>
      <c r="G37" s="27">
        <v>1669</v>
      </c>
      <c r="H37" s="27">
        <f t="shared" si="1"/>
        <v>3672</v>
      </c>
      <c r="I37" s="27">
        <v>1929</v>
      </c>
      <c r="J37" s="27">
        <v>1639</v>
      </c>
      <c r="K37" s="27">
        <f t="shared" si="2"/>
        <v>3568</v>
      </c>
      <c r="L37" s="27">
        <v>1947</v>
      </c>
      <c r="M37" s="27">
        <v>1680</v>
      </c>
      <c r="N37" s="27">
        <f t="shared" si="3"/>
        <v>3627</v>
      </c>
      <c r="O37" s="27">
        <v>1857</v>
      </c>
      <c r="P37" s="27">
        <v>1626</v>
      </c>
      <c r="Q37" s="27">
        <f t="shared" si="4"/>
        <v>3483</v>
      </c>
      <c r="R37" s="27">
        <v>1869</v>
      </c>
      <c r="S37" s="27">
        <v>1569</v>
      </c>
      <c r="T37" s="27">
        <f t="shared" si="5"/>
        <v>3438</v>
      </c>
      <c r="U37" s="27">
        <f t="shared" si="13"/>
        <v>9605</v>
      </c>
      <c r="V37" s="27">
        <f t="shared" si="13"/>
        <v>8183</v>
      </c>
      <c r="W37" s="27">
        <f t="shared" si="14"/>
        <v>17788</v>
      </c>
      <c r="X37" s="27">
        <v>1730</v>
      </c>
      <c r="Y37" s="27">
        <v>1494</v>
      </c>
      <c r="Z37" s="27">
        <f t="shared" si="6"/>
        <v>3224</v>
      </c>
      <c r="AA37" s="27">
        <v>1808</v>
      </c>
      <c r="AB37" s="27">
        <v>1490</v>
      </c>
      <c r="AC37" s="27">
        <f t="shared" si="7"/>
        <v>3298</v>
      </c>
      <c r="AD37" s="27">
        <v>1534</v>
      </c>
      <c r="AE37" s="27">
        <v>1337</v>
      </c>
      <c r="AF37" s="27">
        <f t="shared" si="8"/>
        <v>2871</v>
      </c>
      <c r="AG37" s="27">
        <f t="shared" si="15"/>
        <v>5072</v>
      </c>
      <c r="AH37" s="27">
        <f t="shared" si="15"/>
        <v>4321</v>
      </c>
      <c r="AI37" s="27">
        <f t="shared" si="16"/>
        <v>9393</v>
      </c>
      <c r="AJ37" s="27">
        <f t="shared" si="17"/>
        <v>14677</v>
      </c>
      <c r="AK37" s="27">
        <f t="shared" si="17"/>
        <v>12504</v>
      </c>
      <c r="AL37" s="27">
        <f t="shared" si="18"/>
        <v>27181</v>
      </c>
      <c r="AM37" s="27">
        <v>1544</v>
      </c>
      <c r="AN37" s="27">
        <v>1389</v>
      </c>
      <c r="AO37" s="27">
        <f t="shared" si="9"/>
        <v>2933</v>
      </c>
      <c r="AP37" s="27">
        <v>1384</v>
      </c>
      <c r="AQ37" s="27">
        <v>1261</v>
      </c>
      <c r="AR37" s="27">
        <f t="shared" si="10"/>
        <v>2645</v>
      </c>
      <c r="AS37" s="27">
        <f t="shared" si="19"/>
        <v>2928</v>
      </c>
      <c r="AT37" s="27">
        <f t="shared" si="19"/>
        <v>2650</v>
      </c>
      <c r="AU37" s="27">
        <f t="shared" si="20"/>
        <v>5578</v>
      </c>
      <c r="AV37" s="27">
        <f t="shared" si="21"/>
        <v>17605</v>
      </c>
      <c r="AW37" s="27">
        <f t="shared" si="21"/>
        <v>15154</v>
      </c>
      <c r="AX37" s="27">
        <f t="shared" si="22"/>
        <v>32759</v>
      </c>
      <c r="AY37" s="27">
        <v>1219</v>
      </c>
      <c r="AZ37" s="27">
        <v>972</v>
      </c>
      <c r="BA37" s="27">
        <f t="shared" si="26"/>
        <v>2191</v>
      </c>
      <c r="BB37" s="27">
        <v>880</v>
      </c>
      <c r="BC37" s="27">
        <v>731</v>
      </c>
      <c r="BD37" s="27">
        <f t="shared" si="11"/>
        <v>1611</v>
      </c>
      <c r="BE37" s="27">
        <f t="shared" si="27"/>
        <v>2099</v>
      </c>
      <c r="BF37" s="27">
        <f t="shared" si="27"/>
        <v>1703</v>
      </c>
      <c r="BG37" s="27">
        <f t="shared" si="28"/>
        <v>3802</v>
      </c>
      <c r="BH37" s="27">
        <f t="shared" si="12"/>
        <v>19704</v>
      </c>
      <c r="BI37" s="27">
        <f t="shared" si="12"/>
        <v>16857</v>
      </c>
      <c r="BJ37" s="27">
        <f t="shared" si="23"/>
        <v>36561</v>
      </c>
      <c r="BK37" s="27">
        <f t="shared" si="24"/>
        <v>21592</v>
      </c>
      <c r="BL37" s="27">
        <f t="shared" si="24"/>
        <v>18402</v>
      </c>
      <c r="BM37" s="27">
        <f t="shared" si="25"/>
        <v>39994</v>
      </c>
    </row>
    <row r="38" spans="1:65" ht="18.75" customHeight="1">
      <c r="A38" s="25">
        <v>33</v>
      </c>
      <c r="B38" s="26" t="s">
        <v>43</v>
      </c>
      <c r="C38" s="27">
        <v>86308</v>
      </c>
      <c r="D38" s="27">
        <v>79622</v>
      </c>
      <c r="E38" s="27">
        <f t="shared" si="0"/>
        <v>165930</v>
      </c>
      <c r="F38" s="27">
        <v>182030</v>
      </c>
      <c r="G38" s="27">
        <v>163404</v>
      </c>
      <c r="H38" s="27">
        <f t="shared" si="1"/>
        <v>345434</v>
      </c>
      <c r="I38" s="27">
        <v>193280</v>
      </c>
      <c r="J38" s="27">
        <v>170849</v>
      </c>
      <c r="K38" s="27">
        <f t="shared" si="2"/>
        <v>364129</v>
      </c>
      <c r="L38" s="27">
        <v>194655</v>
      </c>
      <c r="M38" s="27">
        <v>169640</v>
      </c>
      <c r="N38" s="27">
        <f t="shared" si="3"/>
        <v>364295</v>
      </c>
      <c r="O38" s="27">
        <v>193726</v>
      </c>
      <c r="P38" s="27">
        <v>172473</v>
      </c>
      <c r="Q38" s="27">
        <f t="shared" si="4"/>
        <v>366199</v>
      </c>
      <c r="R38" s="27">
        <v>200003</v>
      </c>
      <c r="S38" s="27">
        <v>167771</v>
      </c>
      <c r="T38" s="27">
        <f>R38+S38</f>
        <v>367774</v>
      </c>
      <c r="U38" s="27">
        <f t="shared" si="13"/>
        <v>963694</v>
      </c>
      <c r="V38" s="27">
        <f t="shared" si="13"/>
        <v>844137</v>
      </c>
      <c r="W38" s="27">
        <f t="shared" si="14"/>
        <v>1807831</v>
      </c>
      <c r="X38" s="27">
        <v>190271</v>
      </c>
      <c r="Y38" s="27">
        <v>163077</v>
      </c>
      <c r="Z38" s="27">
        <f t="shared" si="6"/>
        <v>353348</v>
      </c>
      <c r="AA38" s="27">
        <v>179079</v>
      </c>
      <c r="AB38" s="27">
        <v>153597</v>
      </c>
      <c r="AC38" s="27">
        <f t="shared" si="7"/>
        <v>332676</v>
      </c>
      <c r="AD38" s="27">
        <v>177044</v>
      </c>
      <c r="AE38" s="27">
        <v>147562</v>
      </c>
      <c r="AF38" s="27">
        <f t="shared" si="8"/>
        <v>324606</v>
      </c>
      <c r="AG38" s="27">
        <f t="shared" si="15"/>
        <v>546394</v>
      </c>
      <c r="AH38" s="27">
        <f t="shared" si="15"/>
        <v>464236</v>
      </c>
      <c r="AI38" s="27">
        <f t="shared" si="16"/>
        <v>1010630</v>
      </c>
      <c r="AJ38" s="27">
        <f t="shared" si="17"/>
        <v>1510088</v>
      </c>
      <c r="AK38" s="27">
        <f t="shared" si="17"/>
        <v>1308373</v>
      </c>
      <c r="AL38" s="27">
        <f t="shared" si="18"/>
        <v>2818461</v>
      </c>
      <c r="AM38" s="27">
        <v>184914</v>
      </c>
      <c r="AN38" s="27">
        <v>153530</v>
      </c>
      <c r="AO38" s="27">
        <f t="shared" si="9"/>
        <v>338444</v>
      </c>
      <c r="AP38" s="27">
        <v>182973</v>
      </c>
      <c r="AQ38" s="27">
        <v>157811</v>
      </c>
      <c r="AR38" s="27">
        <f t="shared" si="10"/>
        <v>340784</v>
      </c>
      <c r="AS38" s="27">
        <f t="shared" si="19"/>
        <v>367887</v>
      </c>
      <c r="AT38" s="27">
        <f t="shared" si="19"/>
        <v>311341</v>
      </c>
      <c r="AU38" s="27">
        <f t="shared" si="20"/>
        <v>679228</v>
      </c>
      <c r="AV38" s="27">
        <f t="shared" si="21"/>
        <v>1877975</v>
      </c>
      <c r="AW38" s="27">
        <f t="shared" si="21"/>
        <v>1619714</v>
      </c>
      <c r="AX38" s="27">
        <f t="shared" si="22"/>
        <v>3497689</v>
      </c>
      <c r="AY38" s="27">
        <v>153333</v>
      </c>
      <c r="AZ38" s="27">
        <v>129666</v>
      </c>
      <c r="BA38" s="27">
        <f t="shared" si="26"/>
        <v>282999</v>
      </c>
      <c r="BB38" s="27">
        <v>108675</v>
      </c>
      <c r="BC38" s="27">
        <v>98714</v>
      </c>
      <c r="BD38" s="27">
        <f t="shared" si="11"/>
        <v>207389</v>
      </c>
      <c r="BE38" s="27">
        <f t="shared" si="27"/>
        <v>262008</v>
      </c>
      <c r="BF38" s="27">
        <f t="shared" si="27"/>
        <v>228380</v>
      </c>
      <c r="BG38" s="27">
        <f t="shared" si="28"/>
        <v>490388</v>
      </c>
      <c r="BH38" s="27">
        <f t="shared" si="12"/>
        <v>2139983</v>
      </c>
      <c r="BI38" s="27">
        <f t="shared" si="12"/>
        <v>1848094</v>
      </c>
      <c r="BJ38" s="27">
        <f t="shared" si="23"/>
        <v>3988077</v>
      </c>
      <c r="BK38" s="27">
        <f t="shared" si="24"/>
        <v>2226291</v>
      </c>
      <c r="BL38" s="27">
        <f t="shared" si="24"/>
        <v>1927716</v>
      </c>
      <c r="BM38" s="27">
        <f t="shared" si="25"/>
        <v>4154007</v>
      </c>
    </row>
    <row r="39" spans="1:65" ht="18.75" customHeight="1">
      <c r="A39" s="25">
        <v>34</v>
      </c>
      <c r="B39" s="26" t="s">
        <v>44</v>
      </c>
      <c r="C39" s="27">
        <v>481</v>
      </c>
      <c r="D39" s="27">
        <v>589</v>
      </c>
      <c r="E39" s="27">
        <f t="shared" si="0"/>
        <v>1070</v>
      </c>
      <c r="F39" s="27">
        <v>582</v>
      </c>
      <c r="G39" s="27">
        <v>548</v>
      </c>
      <c r="H39" s="27">
        <f>F39+G39</f>
        <v>1130</v>
      </c>
      <c r="I39" s="27">
        <v>563</v>
      </c>
      <c r="J39" s="27">
        <v>515</v>
      </c>
      <c r="K39" s="27">
        <f>I39+J39</f>
        <v>1078</v>
      </c>
      <c r="L39" s="27">
        <v>587</v>
      </c>
      <c r="M39" s="27">
        <v>503</v>
      </c>
      <c r="N39" s="27">
        <f>L39+M39</f>
        <v>1090</v>
      </c>
      <c r="O39" s="27">
        <v>610</v>
      </c>
      <c r="P39" s="27">
        <v>603</v>
      </c>
      <c r="Q39" s="27">
        <f>O39+P39</f>
        <v>1213</v>
      </c>
      <c r="R39" s="27">
        <v>621</v>
      </c>
      <c r="S39" s="27">
        <v>604</v>
      </c>
      <c r="T39" s="27">
        <f>R39+S39</f>
        <v>1225</v>
      </c>
      <c r="U39" s="27">
        <f t="shared" si="13"/>
        <v>2963</v>
      </c>
      <c r="V39" s="27">
        <f>G39+J39+M39+P39+S39</f>
        <v>2773</v>
      </c>
      <c r="W39" s="27">
        <f t="shared" si="14"/>
        <v>5736</v>
      </c>
      <c r="X39" s="27">
        <v>622</v>
      </c>
      <c r="Y39" s="27">
        <v>637</v>
      </c>
      <c r="Z39" s="27">
        <f t="shared" si="6"/>
        <v>1259</v>
      </c>
      <c r="AA39" s="27">
        <v>755</v>
      </c>
      <c r="AB39" s="27">
        <v>951</v>
      </c>
      <c r="AC39" s="27">
        <f t="shared" si="7"/>
        <v>1706</v>
      </c>
      <c r="AD39" s="27">
        <v>511</v>
      </c>
      <c r="AE39" s="27">
        <v>644</v>
      </c>
      <c r="AF39" s="27">
        <f t="shared" si="8"/>
        <v>1155</v>
      </c>
      <c r="AG39" s="27">
        <f t="shared" si="15"/>
        <v>1888</v>
      </c>
      <c r="AH39" s="27">
        <f t="shared" si="15"/>
        <v>2232</v>
      </c>
      <c r="AI39" s="27">
        <f t="shared" si="16"/>
        <v>4120</v>
      </c>
      <c r="AJ39" s="27">
        <f t="shared" si="17"/>
        <v>4851</v>
      </c>
      <c r="AK39" s="27">
        <f t="shared" si="17"/>
        <v>5005</v>
      </c>
      <c r="AL39" s="27">
        <f t="shared" si="18"/>
        <v>9856</v>
      </c>
      <c r="AM39" s="27">
        <v>675</v>
      </c>
      <c r="AN39" s="27">
        <v>615</v>
      </c>
      <c r="AO39" s="27">
        <f t="shared" si="9"/>
        <v>1290</v>
      </c>
      <c r="AP39" s="27">
        <v>645</v>
      </c>
      <c r="AQ39" s="27">
        <v>551</v>
      </c>
      <c r="AR39" s="27">
        <f t="shared" si="10"/>
        <v>1196</v>
      </c>
      <c r="AS39" s="27">
        <f t="shared" si="19"/>
        <v>1320</v>
      </c>
      <c r="AT39" s="27">
        <f t="shared" si="19"/>
        <v>1166</v>
      </c>
      <c r="AU39" s="27">
        <f t="shared" si="20"/>
        <v>2486</v>
      </c>
      <c r="AV39" s="27">
        <f t="shared" si="21"/>
        <v>6171</v>
      </c>
      <c r="AW39" s="27">
        <f t="shared" si="21"/>
        <v>6171</v>
      </c>
      <c r="AX39" s="27">
        <f t="shared" si="22"/>
        <v>12342</v>
      </c>
      <c r="AY39" s="27">
        <v>539</v>
      </c>
      <c r="AZ39" s="27">
        <v>574</v>
      </c>
      <c r="BA39" s="27">
        <f t="shared" si="26"/>
        <v>1113</v>
      </c>
      <c r="BB39" s="27">
        <v>545</v>
      </c>
      <c r="BC39" s="27">
        <v>571</v>
      </c>
      <c r="BD39" s="27">
        <f t="shared" si="11"/>
        <v>1116</v>
      </c>
      <c r="BE39" s="27">
        <f t="shared" si="27"/>
        <v>1084</v>
      </c>
      <c r="BF39" s="27">
        <f t="shared" si="27"/>
        <v>1145</v>
      </c>
      <c r="BG39" s="27">
        <f>BE39+BF39</f>
        <v>2229</v>
      </c>
      <c r="BH39" s="27">
        <f t="shared" si="12"/>
        <v>7255</v>
      </c>
      <c r="BI39" s="27">
        <f t="shared" si="12"/>
        <v>7316</v>
      </c>
      <c r="BJ39" s="27">
        <f t="shared" si="23"/>
        <v>14571</v>
      </c>
      <c r="BK39" s="27">
        <f t="shared" si="24"/>
        <v>7736</v>
      </c>
      <c r="BL39" s="27">
        <f t="shared" si="24"/>
        <v>7905</v>
      </c>
      <c r="BM39" s="27">
        <f t="shared" si="25"/>
        <v>15641</v>
      </c>
    </row>
    <row r="40" spans="1:65" ht="18.75" customHeight="1">
      <c r="A40" s="25">
        <v>35</v>
      </c>
      <c r="B40" s="26" t="s">
        <v>45</v>
      </c>
      <c r="C40" s="27">
        <v>20303</v>
      </c>
      <c r="D40" s="27">
        <v>18054</v>
      </c>
      <c r="E40" s="27">
        <f t="shared" si="0"/>
        <v>38357</v>
      </c>
      <c r="F40" s="27">
        <v>10831</v>
      </c>
      <c r="G40" s="27">
        <v>10336</v>
      </c>
      <c r="H40" s="27">
        <f t="shared" si="1"/>
        <v>21167</v>
      </c>
      <c r="I40" s="27">
        <v>11383</v>
      </c>
      <c r="J40" s="27">
        <v>10708</v>
      </c>
      <c r="K40" s="27">
        <f t="shared" si="2"/>
        <v>22091</v>
      </c>
      <c r="L40" s="27">
        <v>11111</v>
      </c>
      <c r="M40" s="27">
        <v>10611</v>
      </c>
      <c r="N40" s="27">
        <f t="shared" si="3"/>
        <v>21722</v>
      </c>
      <c r="O40" s="27">
        <v>11621</v>
      </c>
      <c r="P40" s="27">
        <v>10894</v>
      </c>
      <c r="Q40" s="27">
        <f t="shared" si="4"/>
        <v>22515</v>
      </c>
      <c r="R40" s="27">
        <v>11561</v>
      </c>
      <c r="S40" s="27">
        <v>10747</v>
      </c>
      <c r="T40" s="27">
        <f t="shared" si="5"/>
        <v>22308</v>
      </c>
      <c r="U40" s="27">
        <f t="shared" si="13"/>
        <v>56507</v>
      </c>
      <c r="V40" s="27">
        <f t="shared" si="13"/>
        <v>53296</v>
      </c>
      <c r="W40" s="27">
        <f t="shared" si="14"/>
        <v>109803</v>
      </c>
      <c r="X40" s="27">
        <v>11606</v>
      </c>
      <c r="Y40" s="27">
        <v>11278</v>
      </c>
      <c r="Z40" s="27">
        <f t="shared" si="6"/>
        <v>22884</v>
      </c>
      <c r="AA40" s="27">
        <v>12596</v>
      </c>
      <c r="AB40" s="27">
        <v>12056</v>
      </c>
      <c r="AC40" s="27">
        <f t="shared" si="7"/>
        <v>24652</v>
      </c>
      <c r="AD40" s="27">
        <v>12360</v>
      </c>
      <c r="AE40" s="27">
        <v>11293</v>
      </c>
      <c r="AF40" s="27">
        <f t="shared" si="8"/>
        <v>23653</v>
      </c>
      <c r="AG40" s="27">
        <f t="shared" si="15"/>
        <v>36562</v>
      </c>
      <c r="AH40" s="27">
        <f t="shared" si="15"/>
        <v>34627</v>
      </c>
      <c r="AI40" s="27">
        <f t="shared" si="16"/>
        <v>71189</v>
      </c>
      <c r="AJ40" s="27">
        <f t="shared" si="17"/>
        <v>93069</v>
      </c>
      <c r="AK40" s="27">
        <f t="shared" si="17"/>
        <v>87923</v>
      </c>
      <c r="AL40" s="27">
        <f t="shared" si="18"/>
        <v>180992</v>
      </c>
      <c r="AM40" s="27">
        <v>13487</v>
      </c>
      <c r="AN40" s="27">
        <v>11983</v>
      </c>
      <c r="AO40" s="27">
        <f t="shared" si="9"/>
        <v>25470</v>
      </c>
      <c r="AP40" s="27">
        <v>10157</v>
      </c>
      <c r="AQ40" s="27">
        <v>10434</v>
      </c>
      <c r="AR40" s="27">
        <f t="shared" si="10"/>
        <v>20591</v>
      </c>
      <c r="AS40" s="27">
        <f t="shared" si="19"/>
        <v>23644</v>
      </c>
      <c r="AT40" s="27">
        <f t="shared" si="19"/>
        <v>22417</v>
      </c>
      <c r="AU40" s="27">
        <f t="shared" si="20"/>
        <v>46061</v>
      </c>
      <c r="AV40" s="27">
        <f t="shared" si="21"/>
        <v>116713</v>
      </c>
      <c r="AW40" s="27">
        <f t="shared" si="21"/>
        <v>110340</v>
      </c>
      <c r="AX40" s="27">
        <f t="shared" si="22"/>
        <v>227053</v>
      </c>
      <c r="AY40" s="27">
        <v>7183</v>
      </c>
      <c r="AZ40" s="27">
        <v>8228</v>
      </c>
      <c r="BA40" s="27">
        <f t="shared" si="26"/>
        <v>15411</v>
      </c>
      <c r="BB40" s="27">
        <v>6042</v>
      </c>
      <c r="BC40" s="27">
        <v>7347</v>
      </c>
      <c r="BD40" s="27">
        <f t="shared" si="11"/>
        <v>13389</v>
      </c>
      <c r="BE40" s="27">
        <f t="shared" si="27"/>
        <v>13225</v>
      </c>
      <c r="BF40" s="27">
        <f t="shared" si="27"/>
        <v>15575</v>
      </c>
      <c r="BG40" s="27">
        <f t="shared" si="28"/>
        <v>28800</v>
      </c>
      <c r="BH40" s="27">
        <f t="shared" si="12"/>
        <v>129938</v>
      </c>
      <c r="BI40" s="27">
        <f t="shared" si="12"/>
        <v>125915</v>
      </c>
      <c r="BJ40" s="27">
        <f t="shared" si="23"/>
        <v>255853</v>
      </c>
      <c r="BK40" s="27">
        <f t="shared" si="24"/>
        <v>150241</v>
      </c>
      <c r="BL40" s="27">
        <f t="shared" si="24"/>
        <v>143969</v>
      </c>
      <c r="BM40" s="27">
        <f t="shared" si="25"/>
        <v>294210</v>
      </c>
    </row>
    <row r="41" spans="1:65" s="83" customFormat="1" ht="18" customHeight="1">
      <c r="A41" s="286" t="s">
        <v>46</v>
      </c>
      <c r="B41" s="286"/>
      <c r="C41" s="93">
        <f>SUM(C6:C40)</f>
        <v>3268983</v>
      </c>
      <c r="D41" s="93">
        <f>SUM(D6:D40)</f>
        <v>2804519</v>
      </c>
      <c r="E41" s="93">
        <f t="shared" ref="E41:AR41" si="71">SUM(E6:E40)</f>
        <v>6073502</v>
      </c>
      <c r="F41" s="93">
        <f t="shared" si="71"/>
        <v>16303366</v>
      </c>
      <c r="G41" s="93">
        <f t="shared" si="71"/>
        <v>14968542</v>
      </c>
      <c r="H41" s="94">
        <f t="shared" si="71"/>
        <v>31271908</v>
      </c>
      <c r="I41" s="94">
        <f t="shared" si="71"/>
        <v>14917691</v>
      </c>
      <c r="J41" s="94">
        <f t="shared" si="71"/>
        <v>13956589</v>
      </c>
      <c r="K41" s="94">
        <f t="shared" si="71"/>
        <v>28874280</v>
      </c>
      <c r="L41" s="94">
        <f t="shared" si="71"/>
        <v>14413426</v>
      </c>
      <c r="M41" s="94">
        <f t="shared" si="71"/>
        <v>13479062</v>
      </c>
      <c r="N41" s="94">
        <f t="shared" si="71"/>
        <v>27892488</v>
      </c>
      <c r="O41" s="94">
        <f t="shared" si="71"/>
        <v>13854779</v>
      </c>
      <c r="P41" s="94">
        <f t="shared" si="71"/>
        <v>12836869</v>
      </c>
      <c r="Q41" s="94">
        <f t="shared" si="71"/>
        <v>26691648</v>
      </c>
      <c r="R41" s="94">
        <f t="shared" si="71"/>
        <v>13149271</v>
      </c>
      <c r="S41" s="94">
        <f t="shared" si="71"/>
        <v>11990309</v>
      </c>
      <c r="T41" s="94">
        <f t="shared" si="71"/>
        <v>25139580</v>
      </c>
      <c r="U41" s="94">
        <f t="shared" si="71"/>
        <v>72638533</v>
      </c>
      <c r="V41" s="94">
        <f t="shared" si="71"/>
        <v>67231371</v>
      </c>
      <c r="W41" s="93">
        <f t="shared" si="71"/>
        <v>139869904</v>
      </c>
      <c r="X41" s="94">
        <f t="shared" si="71"/>
        <v>11609771</v>
      </c>
      <c r="Y41" s="94">
        <f t="shared" si="71"/>
        <v>10625204</v>
      </c>
      <c r="Z41" s="94">
        <f t="shared" si="71"/>
        <v>22234975</v>
      </c>
      <c r="AA41" s="94">
        <f t="shared" si="71"/>
        <v>11105668</v>
      </c>
      <c r="AB41" s="94">
        <f t="shared" si="71"/>
        <v>10040751</v>
      </c>
      <c r="AC41" s="93">
        <f t="shared" si="71"/>
        <v>21146419</v>
      </c>
      <c r="AD41" s="93">
        <f t="shared" si="71"/>
        <v>10401807</v>
      </c>
      <c r="AE41" s="93">
        <f t="shared" si="71"/>
        <v>9223112</v>
      </c>
      <c r="AF41" s="94">
        <f t="shared" si="71"/>
        <v>19624919</v>
      </c>
      <c r="AG41" s="93">
        <f t="shared" si="71"/>
        <v>33117246</v>
      </c>
      <c r="AH41" s="93">
        <f t="shared" si="71"/>
        <v>29889067</v>
      </c>
      <c r="AI41" s="93">
        <f t="shared" si="71"/>
        <v>63006313</v>
      </c>
      <c r="AJ41" s="93">
        <f t="shared" si="71"/>
        <v>105755779</v>
      </c>
      <c r="AK41" s="93">
        <f t="shared" si="71"/>
        <v>97120438</v>
      </c>
      <c r="AL41" s="93">
        <f t="shared" si="71"/>
        <v>202876217</v>
      </c>
      <c r="AM41" s="93">
        <f t="shared" si="71"/>
        <v>9822379</v>
      </c>
      <c r="AN41" s="93">
        <f t="shared" si="71"/>
        <v>8158862</v>
      </c>
      <c r="AO41" s="94">
        <f t="shared" si="71"/>
        <v>17981241</v>
      </c>
      <c r="AP41" s="94">
        <f t="shared" si="71"/>
        <v>8729535</v>
      </c>
      <c r="AQ41" s="94">
        <f t="shared" si="71"/>
        <v>7341805</v>
      </c>
      <c r="AR41" s="94">
        <f t="shared" si="71"/>
        <v>16071340</v>
      </c>
      <c r="AS41" s="94">
        <f t="shared" ref="AS41:BC41" si="72">SUM(AS6:AS40)</f>
        <v>18551914</v>
      </c>
      <c r="AT41" s="94">
        <f t="shared" si="72"/>
        <v>15500667</v>
      </c>
      <c r="AU41" s="94">
        <f t="shared" si="72"/>
        <v>34052581</v>
      </c>
      <c r="AV41" s="94">
        <f t="shared" si="72"/>
        <v>124307693</v>
      </c>
      <c r="AW41" s="94">
        <f t="shared" si="72"/>
        <v>112621105</v>
      </c>
      <c r="AX41" s="94">
        <f t="shared" si="72"/>
        <v>236928798</v>
      </c>
      <c r="AY41" s="94">
        <f t="shared" si="72"/>
        <v>6120406</v>
      </c>
      <c r="AZ41" s="94">
        <f t="shared" si="72"/>
        <v>4913789</v>
      </c>
      <c r="BA41" s="94">
        <f t="shared" si="72"/>
        <v>11034195</v>
      </c>
      <c r="BB41" s="94">
        <f t="shared" si="72"/>
        <v>5483563</v>
      </c>
      <c r="BC41" s="94">
        <f t="shared" si="72"/>
        <v>4489807</v>
      </c>
      <c r="BD41" s="94">
        <f t="shared" ref="BD41:BM41" si="73">SUM(BD6:BD40)</f>
        <v>9973370</v>
      </c>
      <c r="BE41" s="94">
        <f t="shared" si="73"/>
        <v>11603969</v>
      </c>
      <c r="BF41" s="94">
        <f t="shared" si="73"/>
        <v>9403596</v>
      </c>
      <c r="BG41" s="94">
        <f t="shared" si="73"/>
        <v>21007565</v>
      </c>
      <c r="BH41" s="94">
        <f t="shared" si="73"/>
        <v>135911662</v>
      </c>
      <c r="BI41" s="94">
        <f t="shared" si="73"/>
        <v>122024701</v>
      </c>
      <c r="BJ41" s="94">
        <f t="shared" si="73"/>
        <v>257936363</v>
      </c>
      <c r="BK41" s="94">
        <f t="shared" si="73"/>
        <v>139180645</v>
      </c>
      <c r="BL41" s="94">
        <f t="shared" si="73"/>
        <v>124829220</v>
      </c>
      <c r="BM41" s="94">
        <f t="shared" si="73"/>
        <v>264009865</v>
      </c>
    </row>
    <row r="42" spans="1:65">
      <c r="A42" s="24"/>
      <c r="B42" s="24"/>
      <c r="C42" s="251"/>
      <c r="D42" s="32"/>
      <c r="E42" s="37"/>
      <c r="F42" s="32"/>
      <c r="G42" s="32"/>
      <c r="H42" s="32"/>
      <c r="I42" s="32"/>
      <c r="J42" s="32"/>
      <c r="K42" s="252"/>
      <c r="L42" s="32"/>
      <c r="M42" s="32"/>
      <c r="N42" s="252"/>
      <c r="O42" s="32"/>
      <c r="P42" s="32"/>
      <c r="Q42" s="252"/>
      <c r="R42" s="32"/>
      <c r="S42" s="32"/>
      <c r="T42" s="252"/>
      <c r="U42" s="32"/>
      <c r="V42" s="32"/>
      <c r="W42" s="252"/>
      <c r="X42" s="32"/>
      <c r="Y42" s="32"/>
      <c r="Z42" s="252"/>
      <c r="AA42" s="32"/>
      <c r="AB42" s="32"/>
      <c r="AC42" s="25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252"/>
      <c r="AS42" s="32"/>
      <c r="AT42" s="32"/>
      <c r="AU42" s="252"/>
      <c r="AV42" s="32"/>
      <c r="AW42" s="32"/>
      <c r="AX42" s="252"/>
      <c r="AY42" s="32"/>
      <c r="AZ42" s="32"/>
      <c r="BA42" s="253"/>
      <c r="BB42" s="254"/>
      <c r="BC42" s="254"/>
      <c r="BD42" s="253"/>
      <c r="BE42" s="254"/>
      <c r="BF42" s="254"/>
      <c r="BG42" s="253"/>
      <c r="BH42" s="254"/>
      <c r="BI42" s="254"/>
      <c r="BJ42" s="253"/>
      <c r="BK42" s="254"/>
      <c r="BL42" s="254"/>
      <c r="BM42" s="253"/>
    </row>
    <row r="46" spans="1:65">
      <c r="X46" s="5">
        <v>72638533</v>
      </c>
      <c r="Y46" s="5">
        <v>67231371</v>
      </c>
      <c r="Z46" s="5">
        <v>139869904</v>
      </c>
      <c r="AA46" s="5">
        <v>33117246</v>
      </c>
      <c r="AB46" s="5">
        <v>29889067</v>
      </c>
      <c r="AC46" s="5">
        <v>63006313</v>
      </c>
      <c r="AD46" s="5">
        <v>18551914</v>
      </c>
      <c r="AE46" s="5">
        <v>15500667</v>
      </c>
      <c r="AF46" s="5">
        <v>34052581</v>
      </c>
      <c r="AG46" s="5">
        <v>11603969</v>
      </c>
      <c r="AH46" s="5">
        <v>9403596</v>
      </c>
      <c r="AI46" s="5">
        <v>21007565</v>
      </c>
    </row>
    <row r="47" spans="1:65">
      <c r="X47" s="5">
        <f>X46/1000000</f>
        <v>72.638532999999995</v>
      </c>
      <c r="Y47" s="5">
        <f t="shared" ref="Y47:AI47" si="74">Y46/1000000</f>
        <v>67.231370999999996</v>
      </c>
      <c r="Z47" s="5">
        <f t="shared" si="74"/>
        <v>139.86990399999999</v>
      </c>
      <c r="AA47" s="5">
        <f t="shared" si="74"/>
        <v>33.117246000000002</v>
      </c>
      <c r="AB47" s="5">
        <f t="shared" si="74"/>
        <v>29.889067000000001</v>
      </c>
      <c r="AC47" s="5">
        <f t="shared" si="74"/>
        <v>63.006312999999999</v>
      </c>
      <c r="AD47" s="5">
        <f t="shared" si="74"/>
        <v>18.551914</v>
      </c>
      <c r="AE47" s="5">
        <f t="shared" si="74"/>
        <v>15.500667</v>
      </c>
      <c r="AF47" s="5">
        <f t="shared" si="74"/>
        <v>34.052581000000004</v>
      </c>
      <c r="AG47" s="5">
        <f t="shared" si="74"/>
        <v>11.603968999999999</v>
      </c>
      <c r="AH47" s="5">
        <f t="shared" si="74"/>
        <v>9.4035960000000003</v>
      </c>
      <c r="AI47" s="5">
        <f t="shared" si="74"/>
        <v>21.007565</v>
      </c>
    </row>
  </sheetData>
  <mergeCells count="24">
    <mergeCell ref="A41:B41"/>
    <mergeCell ref="BE3:BG3"/>
    <mergeCell ref="BH3:BJ3"/>
    <mergeCell ref="BK3:BM3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L3:N3"/>
    <mergeCell ref="O3:Q3"/>
    <mergeCell ref="R3:T3"/>
    <mergeCell ref="A3:A4"/>
    <mergeCell ref="B3:B4"/>
    <mergeCell ref="C3:E3"/>
    <mergeCell ref="F3:H3"/>
    <mergeCell ref="I3:K3"/>
  </mergeCells>
  <printOptions horizontalCentered="1"/>
  <pageMargins left="0.2" right="0.22" top="0.32" bottom="0.59" header="0.2" footer="0.33"/>
  <pageSetup paperSize="9" scale="98" firstPageNumber="7" orientation="portrait" useFirstPageNumber="1" r:id="rId1"/>
  <headerFooter alignWithMargins="0">
    <oddFooter>&amp;LSTATISTICS OF SCHOOL EDUCATION 2011-12&amp;R&amp;P</oddFooter>
  </headerFooter>
  <colBreaks count="4" manualBreakCount="4">
    <brk id="44" max="40" man="1"/>
    <brk id="50" max="40" man="1"/>
    <brk id="56" max="40" man="1"/>
    <brk id="62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BR52"/>
  <sheetViews>
    <sheetView view="pageBreakPreview" topLeftCell="AW1" zoomScaleSheetLayoutView="100" workbookViewId="0">
      <selection activeCell="A17" sqref="A17:XFD17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3" width="10.140625" style="5" customWidth="1"/>
    <col min="4" max="4" width="10.7109375" style="5" customWidth="1"/>
    <col min="5" max="5" width="10.85546875" style="5" customWidth="1"/>
    <col min="6" max="6" width="10.7109375" style="5" customWidth="1"/>
    <col min="7" max="21" width="11.5703125" style="5" customWidth="1"/>
    <col min="22" max="22" width="11.7109375" style="5" customWidth="1"/>
    <col min="23" max="30" width="11.5703125" style="5" customWidth="1"/>
    <col min="31" max="31" width="10.5703125" style="5" customWidth="1"/>
    <col min="32" max="32" width="11.5703125" style="5" customWidth="1"/>
    <col min="33" max="33" width="11" style="5" customWidth="1"/>
    <col min="34" max="34" width="10.5703125" style="5" customWidth="1"/>
    <col min="35" max="35" width="12.140625" style="5" customWidth="1"/>
    <col min="36" max="38" width="11.5703125" style="5" customWidth="1"/>
    <col min="39" max="40" width="10.42578125" style="5" customWidth="1"/>
    <col min="41" max="41" width="10.28515625" style="5" customWidth="1"/>
    <col min="42" max="43" width="10" style="5" customWidth="1"/>
    <col min="44" max="44" width="10.42578125" style="5" customWidth="1"/>
    <col min="45" max="47" width="11.5703125" style="5" customWidth="1"/>
    <col min="48" max="50" width="12.7109375" style="5" customWidth="1"/>
    <col min="51" max="59" width="11.5703125" style="5" customWidth="1"/>
    <col min="60" max="60" width="12.5703125" style="5" customWidth="1"/>
    <col min="61" max="61" width="13.140625" style="5" customWidth="1"/>
    <col min="62" max="62" width="12.5703125" style="5" customWidth="1"/>
    <col min="63" max="65" width="15" style="5" customWidth="1"/>
    <col min="66" max="248" width="8.85546875" style="5"/>
    <col min="249" max="249" width="6.140625" style="5" customWidth="1"/>
    <col min="250" max="250" width="20.28515625" style="5" customWidth="1"/>
    <col min="251" max="251" width="12.42578125" style="5" customWidth="1"/>
    <col min="252" max="252" width="13" style="5" customWidth="1"/>
    <col min="253" max="253" width="12.5703125" style="5" customWidth="1"/>
    <col min="254" max="267" width="11.7109375" style="5" customWidth="1"/>
    <col min="268" max="268" width="12.28515625" style="5" customWidth="1"/>
    <col min="269" max="269" width="11.7109375" style="5" customWidth="1"/>
    <col min="270" max="270" width="12.85546875" style="5" customWidth="1"/>
    <col min="271" max="271" width="11.7109375" style="5" customWidth="1"/>
    <col min="272" max="272" width="12.7109375" style="5" customWidth="1"/>
    <col min="273" max="273" width="11.7109375" style="5" customWidth="1"/>
    <col min="274" max="274" width="13" style="5" customWidth="1"/>
    <col min="275" max="286" width="11.7109375" style="5" customWidth="1"/>
    <col min="287" max="287" width="12.5703125" style="5" customWidth="1"/>
    <col min="288" max="288" width="11.7109375" style="5" customWidth="1"/>
    <col min="289" max="289" width="13" style="5" customWidth="1"/>
    <col min="290" max="295" width="11.7109375" style="5" customWidth="1"/>
    <col min="296" max="296" width="13.7109375" style="5" customWidth="1"/>
    <col min="297" max="297" width="13.140625" style="5" customWidth="1"/>
    <col min="298" max="301" width="13" style="5" customWidth="1"/>
    <col min="302" max="308" width="11.7109375" style="5" customWidth="1"/>
    <col min="309" max="309" width="10.85546875" style="5" customWidth="1"/>
    <col min="310" max="310" width="11.7109375" style="5" customWidth="1"/>
    <col min="311" max="313" width="22.7109375" style="5" customWidth="1"/>
    <col min="314" max="316" width="20.7109375" style="5" customWidth="1"/>
    <col min="317" max="504" width="8.85546875" style="5"/>
    <col min="505" max="505" width="6.140625" style="5" customWidth="1"/>
    <col min="506" max="506" width="20.28515625" style="5" customWidth="1"/>
    <col min="507" max="507" width="12.42578125" style="5" customWidth="1"/>
    <col min="508" max="508" width="13" style="5" customWidth="1"/>
    <col min="509" max="509" width="12.5703125" style="5" customWidth="1"/>
    <col min="510" max="523" width="11.7109375" style="5" customWidth="1"/>
    <col min="524" max="524" width="12.28515625" style="5" customWidth="1"/>
    <col min="525" max="525" width="11.7109375" style="5" customWidth="1"/>
    <col min="526" max="526" width="12.85546875" style="5" customWidth="1"/>
    <col min="527" max="527" width="11.7109375" style="5" customWidth="1"/>
    <col min="528" max="528" width="12.7109375" style="5" customWidth="1"/>
    <col min="529" max="529" width="11.7109375" style="5" customWidth="1"/>
    <col min="530" max="530" width="13" style="5" customWidth="1"/>
    <col min="531" max="542" width="11.7109375" style="5" customWidth="1"/>
    <col min="543" max="543" width="12.5703125" style="5" customWidth="1"/>
    <col min="544" max="544" width="11.7109375" style="5" customWidth="1"/>
    <col min="545" max="545" width="13" style="5" customWidth="1"/>
    <col min="546" max="551" width="11.7109375" style="5" customWidth="1"/>
    <col min="552" max="552" width="13.7109375" style="5" customWidth="1"/>
    <col min="553" max="553" width="13.140625" style="5" customWidth="1"/>
    <col min="554" max="557" width="13" style="5" customWidth="1"/>
    <col min="558" max="564" width="11.7109375" style="5" customWidth="1"/>
    <col min="565" max="565" width="10.85546875" style="5" customWidth="1"/>
    <col min="566" max="566" width="11.7109375" style="5" customWidth="1"/>
    <col min="567" max="569" width="22.7109375" style="5" customWidth="1"/>
    <col min="570" max="572" width="20.7109375" style="5" customWidth="1"/>
    <col min="573" max="760" width="8.85546875" style="5"/>
    <col min="761" max="761" width="6.140625" style="5" customWidth="1"/>
    <col min="762" max="762" width="20.28515625" style="5" customWidth="1"/>
    <col min="763" max="763" width="12.42578125" style="5" customWidth="1"/>
    <col min="764" max="764" width="13" style="5" customWidth="1"/>
    <col min="765" max="765" width="12.5703125" style="5" customWidth="1"/>
    <col min="766" max="779" width="11.7109375" style="5" customWidth="1"/>
    <col min="780" max="780" width="12.28515625" style="5" customWidth="1"/>
    <col min="781" max="781" width="11.7109375" style="5" customWidth="1"/>
    <col min="782" max="782" width="12.85546875" style="5" customWidth="1"/>
    <col min="783" max="783" width="11.7109375" style="5" customWidth="1"/>
    <col min="784" max="784" width="12.7109375" style="5" customWidth="1"/>
    <col min="785" max="785" width="11.7109375" style="5" customWidth="1"/>
    <col min="786" max="786" width="13" style="5" customWidth="1"/>
    <col min="787" max="798" width="11.7109375" style="5" customWidth="1"/>
    <col min="799" max="799" width="12.5703125" style="5" customWidth="1"/>
    <col min="800" max="800" width="11.7109375" style="5" customWidth="1"/>
    <col min="801" max="801" width="13" style="5" customWidth="1"/>
    <col min="802" max="807" width="11.7109375" style="5" customWidth="1"/>
    <col min="808" max="808" width="13.7109375" style="5" customWidth="1"/>
    <col min="809" max="809" width="13.140625" style="5" customWidth="1"/>
    <col min="810" max="813" width="13" style="5" customWidth="1"/>
    <col min="814" max="820" width="11.7109375" style="5" customWidth="1"/>
    <col min="821" max="821" width="10.85546875" style="5" customWidth="1"/>
    <col min="822" max="822" width="11.7109375" style="5" customWidth="1"/>
    <col min="823" max="825" width="22.7109375" style="5" customWidth="1"/>
    <col min="826" max="828" width="20.7109375" style="5" customWidth="1"/>
    <col min="829" max="1016" width="8.85546875" style="5"/>
    <col min="1017" max="1017" width="6.140625" style="5" customWidth="1"/>
    <col min="1018" max="1018" width="20.28515625" style="5" customWidth="1"/>
    <col min="1019" max="1019" width="12.42578125" style="5" customWidth="1"/>
    <col min="1020" max="1020" width="13" style="5" customWidth="1"/>
    <col min="1021" max="1021" width="12.5703125" style="5" customWidth="1"/>
    <col min="1022" max="1035" width="11.7109375" style="5" customWidth="1"/>
    <col min="1036" max="1036" width="12.28515625" style="5" customWidth="1"/>
    <col min="1037" max="1037" width="11.7109375" style="5" customWidth="1"/>
    <col min="1038" max="1038" width="12.85546875" style="5" customWidth="1"/>
    <col min="1039" max="1039" width="11.7109375" style="5" customWidth="1"/>
    <col min="1040" max="1040" width="12.7109375" style="5" customWidth="1"/>
    <col min="1041" max="1041" width="11.7109375" style="5" customWidth="1"/>
    <col min="1042" max="1042" width="13" style="5" customWidth="1"/>
    <col min="1043" max="1054" width="11.7109375" style="5" customWidth="1"/>
    <col min="1055" max="1055" width="12.5703125" style="5" customWidth="1"/>
    <col min="1056" max="1056" width="11.7109375" style="5" customWidth="1"/>
    <col min="1057" max="1057" width="13" style="5" customWidth="1"/>
    <col min="1058" max="1063" width="11.7109375" style="5" customWidth="1"/>
    <col min="1064" max="1064" width="13.7109375" style="5" customWidth="1"/>
    <col min="1065" max="1065" width="13.140625" style="5" customWidth="1"/>
    <col min="1066" max="1069" width="13" style="5" customWidth="1"/>
    <col min="1070" max="1076" width="11.7109375" style="5" customWidth="1"/>
    <col min="1077" max="1077" width="10.85546875" style="5" customWidth="1"/>
    <col min="1078" max="1078" width="11.7109375" style="5" customWidth="1"/>
    <col min="1079" max="1081" width="22.7109375" style="5" customWidth="1"/>
    <col min="1082" max="1084" width="20.7109375" style="5" customWidth="1"/>
    <col min="1085" max="1272" width="8.85546875" style="5"/>
    <col min="1273" max="1273" width="6.140625" style="5" customWidth="1"/>
    <col min="1274" max="1274" width="20.28515625" style="5" customWidth="1"/>
    <col min="1275" max="1275" width="12.42578125" style="5" customWidth="1"/>
    <col min="1276" max="1276" width="13" style="5" customWidth="1"/>
    <col min="1277" max="1277" width="12.5703125" style="5" customWidth="1"/>
    <col min="1278" max="1291" width="11.7109375" style="5" customWidth="1"/>
    <col min="1292" max="1292" width="12.28515625" style="5" customWidth="1"/>
    <col min="1293" max="1293" width="11.7109375" style="5" customWidth="1"/>
    <col min="1294" max="1294" width="12.85546875" style="5" customWidth="1"/>
    <col min="1295" max="1295" width="11.7109375" style="5" customWidth="1"/>
    <col min="1296" max="1296" width="12.7109375" style="5" customWidth="1"/>
    <col min="1297" max="1297" width="11.7109375" style="5" customWidth="1"/>
    <col min="1298" max="1298" width="13" style="5" customWidth="1"/>
    <col min="1299" max="1310" width="11.7109375" style="5" customWidth="1"/>
    <col min="1311" max="1311" width="12.5703125" style="5" customWidth="1"/>
    <col min="1312" max="1312" width="11.7109375" style="5" customWidth="1"/>
    <col min="1313" max="1313" width="13" style="5" customWidth="1"/>
    <col min="1314" max="1319" width="11.7109375" style="5" customWidth="1"/>
    <col min="1320" max="1320" width="13.7109375" style="5" customWidth="1"/>
    <col min="1321" max="1321" width="13.140625" style="5" customWidth="1"/>
    <col min="1322" max="1325" width="13" style="5" customWidth="1"/>
    <col min="1326" max="1332" width="11.7109375" style="5" customWidth="1"/>
    <col min="1333" max="1333" width="10.85546875" style="5" customWidth="1"/>
    <col min="1334" max="1334" width="11.7109375" style="5" customWidth="1"/>
    <col min="1335" max="1337" width="22.7109375" style="5" customWidth="1"/>
    <col min="1338" max="1340" width="20.7109375" style="5" customWidth="1"/>
    <col min="1341" max="1528" width="8.85546875" style="5"/>
    <col min="1529" max="1529" width="6.140625" style="5" customWidth="1"/>
    <col min="1530" max="1530" width="20.28515625" style="5" customWidth="1"/>
    <col min="1531" max="1531" width="12.42578125" style="5" customWidth="1"/>
    <col min="1532" max="1532" width="13" style="5" customWidth="1"/>
    <col min="1533" max="1533" width="12.5703125" style="5" customWidth="1"/>
    <col min="1534" max="1547" width="11.7109375" style="5" customWidth="1"/>
    <col min="1548" max="1548" width="12.28515625" style="5" customWidth="1"/>
    <col min="1549" max="1549" width="11.7109375" style="5" customWidth="1"/>
    <col min="1550" max="1550" width="12.85546875" style="5" customWidth="1"/>
    <col min="1551" max="1551" width="11.7109375" style="5" customWidth="1"/>
    <col min="1552" max="1552" width="12.7109375" style="5" customWidth="1"/>
    <col min="1553" max="1553" width="11.7109375" style="5" customWidth="1"/>
    <col min="1554" max="1554" width="13" style="5" customWidth="1"/>
    <col min="1555" max="1566" width="11.7109375" style="5" customWidth="1"/>
    <col min="1567" max="1567" width="12.5703125" style="5" customWidth="1"/>
    <col min="1568" max="1568" width="11.7109375" style="5" customWidth="1"/>
    <col min="1569" max="1569" width="13" style="5" customWidth="1"/>
    <col min="1570" max="1575" width="11.7109375" style="5" customWidth="1"/>
    <col min="1576" max="1576" width="13.7109375" style="5" customWidth="1"/>
    <col min="1577" max="1577" width="13.140625" style="5" customWidth="1"/>
    <col min="1578" max="1581" width="13" style="5" customWidth="1"/>
    <col min="1582" max="1588" width="11.7109375" style="5" customWidth="1"/>
    <col min="1589" max="1589" width="10.85546875" style="5" customWidth="1"/>
    <col min="1590" max="1590" width="11.7109375" style="5" customWidth="1"/>
    <col min="1591" max="1593" width="22.7109375" style="5" customWidth="1"/>
    <col min="1594" max="1596" width="20.7109375" style="5" customWidth="1"/>
    <col min="1597" max="1784" width="8.85546875" style="5"/>
    <col min="1785" max="1785" width="6.140625" style="5" customWidth="1"/>
    <col min="1786" max="1786" width="20.28515625" style="5" customWidth="1"/>
    <col min="1787" max="1787" width="12.42578125" style="5" customWidth="1"/>
    <col min="1788" max="1788" width="13" style="5" customWidth="1"/>
    <col min="1789" max="1789" width="12.5703125" style="5" customWidth="1"/>
    <col min="1790" max="1803" width="11.7109375" style="5" customWidth="1"/>
    <col min="1804" max="1804" width="12.28515625" style="5" customWidth="1"/>
    <col min="1805" max="1805" width="11.7109375" style="5" customWidth="1"/>
    <col min="1806" max="1806" width="12.85546875" style="5" customWidth="1"/>
    <col min="1807" max="1807" width="11.7109375" style="5" customWidth="1"/>
    <col min="1808" max="1808" width="12.7109375" style="5" customWidth="1"/>
    <col min="1809" max="1809" width="11.7109375" style="5" customWidth="1"/>
    <col min="1810" max="1810" width="13" style="5" customWidth="1"/>
    <col min="1811" max="1822" width="11.7109375" style="5" customWidth="1"/>
    <col min="1823" max="1823" width="12.5703125" style="5" customWidth="1"/>
    <col min="1824" max="1824" width="11.7109375" style="5" customWidth="1"/>
    <col min="1825" max="1825" width="13" style="5" customWidth="1"/>
    <col min="1826" max="1831" width="11.7109375" style="5" customWidth="1"/>
    <col min="1832" max="1832" width="13.7109375" style="5" customWidth="1"/>
    <col min="1833" max="1833" width="13.140625" style="5" customWidth="1"/>
    <col min="1834" max="1837" width="13" style="5" customWidth="1"/>
    <col min="1838" max="1844" width="11.7109375" style="5" customWidth="1"/>
    <col min="1845" max="1845" width="10.85546875" style="5" customWidth="1"/>
    <col min="1846" max="1846" width="11.7109375" style="5" customWidth="1"/>
    <col min="1847" max="1849" width="22.7109375" style="5" customWidth="1"/>
    <col min="1850" max="1852" width="20.7109375" style="5" customWidth="1"/>
    <col min="1853" max="2040" width="8.85546875" style="5"/>
    <col min="2041" max="2041" width="6.140625" style="5" customWidth="1"/>
    <col min="2042" max="2042" width="20.28515625" style="5" customWidth="1"/>
    <col min="2043" max="2043" width="12.42578125" style="5" customWidth="1"/>
    <col min="2044" max="2044" width="13" style="5" customWidth="1"/>
    <col min="2045" max="2045" width="12.5703125" style="5" customWidth="1"/>
    <col min="2046" max="2059" width="11.7109375" style="5" customWidth="1"/>
    <col min="2060" max="2060" width="12.28515625" style="5" customWidth="1"/>
    <col min="2061" max="2061" width="11.7109375" style="5" customWidth="1"/>
    <col min="2062" max="2062" width="12.85546875" style="5" customWidth="1"/>
    <col min="2063" max="2063" width="11.7109375" style="5" customWidth="1"/>
    <col min="2064" max="2064" width="12.7109375" style="5" customWidth="1"/>
    <col min="2065" max="2065" width="11.7109375" style="5" customWidth="1"/>
    <col min="2066" max="2066" width="13" style="5" customWidth="1"/>
    <col min="2067" max="2078" width="11.7109375" style="5" customWidth="1"/>
    <col min="2079" max="2079" width="12.5703125" style="5" customWidth="1"/>
    <col min="2080" max="2080" width="11.7109375" style="5" customWidth="1"/>
    <col min="2081" max="2081" width="13" style="5" customWidth="1"/>
    <col min="2082" max="2087" width="11.7109375" style="5" customWidth="1"/>
    <col min="2088" max="2088" width="13.7109375" style="5" customWidth="1"/>
    <col min="2089" max="2089" width="13.140625" style="5" customWidth="1"/>
    <col min="2090" max="2093" width="13" style="5" customWidth="1"/>
    <col min="2094" max="2100" width="11.7109375" style="5" customWidth="1"/>
    <col min="2101" max="2101" width="10.85546875" style="5" customWidth="1"/>
    <col min="2102" max="2102" width="11.7109375" style="5" customWidth="1"/>
    <col min="2103" max="2105" width="22.7109375" style="5" customWidth="1"/>
    <col min="2106" max="2108" width="20.7109375" style="5" customWidth="1"/>
    <col min="2109" max="2296" width="8.85546875" style="5"/>
    <col min="2297" max="2297" width="6.140625" style="5" customWidth="1"/>
    <col min="2298" max="2298" width="20.28515625" style="5" customWidth="1"/>
    <col min="2299" max="2299" width="12.42578125" style="5" customWidth="1"/>
    <col min="2300" max="2300" width="13" style="5" customWidth="1"/>
    <col min="2301" max="2301" width="12.5703125" style="5" customWidth="1"/>
    <col min="2302" max="2315" width="11.7109375" style="5" customWidth="1"/>
    <col min="2316" max="2316" width="12.28515625" style="5" customWidth="1"/>
    <col min="2317" max="2317" width="11.7109375" style="5" customWidth="1"/>
    <col min="2318" max="2318" width="12.85546875" style="5" customWidth="1"/>
    <col min="2319" max="2319" width="11.7109375" style="5" customWidth="1"/>
    <col min="2320" max="2320" width="12.7109375" style="5" customWidth="1"/>
    <col min="2321" max="2321" width="11.7109375" style="5" customWidth="1"/>
    <col min="2322" max="2322" width="13" style="5" customWidth="1"/>
    <col min="2323" max="2334" width="11.7109375" style="5" customWidth="1"/>
    <col min="2335" max="2335" width="12.5703125" style="5" customWidth="1"/>
    <col min="2336" max="2336" width="11.7109375" style="5" customWidth="1"/>
    <col min="2337" max="2337" width="13" style="5" customWidth="1"/>
    <col min="2338" max="2343" width="11.7109375" style="5" customWidth="1"/>
    <col min="2344" max="2344" width="13.7109375" style="5" customWidth="1"/>
    <col min="2345" max="2345" width="13.140625" style="5" customWidth="1"/>
    <col min="2346" max="2349" width="13" style="5" customWidth="1"/>
    <col min="2350" max="2356" width="11.7109375" style="5" customWidth="1"/>
    <col min="2357" max="2357" width="10.85546875" style="5" customWidth="1"/>
    <col min="2358" max="2358" width="11.7109375" style="5" customWidth="1"/>
    <col min="2359" max="2361" width="22.7109375" style="5" customWidth="1"/>
    <col min="2362" max="2364" width="20.7109375" style="5" customWidth="1"/>
    <col min="2365" max="2552" width="8.85546875" style="5"/>
    <col min="2553" max="2553" width="6.140625" style="5" customWidth="1"/>
    <col min="2554" max="2554" width="20.28515625" style="5" customWidth="1"/>
    <col min="2555" max="2555" width="12.42578125" style="5" customWidth="1"/>
    <col min="2556" max="2556" width="13" style="5" customWidth="1"/>
    <col min="2557" max="2557" width="12.5703125" style="5" customWidth="1"/>
    <col min="2558" max="2571" width="11.7109375" style="5" customWidth="1"/>
    <col min="2572" max="2572" width="12.28515625" style="5" customWidth="1"/>
    <col min="2573" max="2573" width="11.7109375" style="5" customWidth="1"/>
    <col min="2574" max="2574" width="12.85546875" style="5" customWidth="1"/>
    <col min="2575" max="2575" width="11.7109375" style="5" customWidth="1"/>
    <col min="2576" max="2576" width="12.7109375" style="5" customWidth="1"/>
    <col min="2577" max="2577" width="11.7109375" style="5" customWidth="1"/>
    <col min="2578" max="2578" width="13" style="5" customWidth="1"/>
    <col min="2579" max="2590" width="11.7109375" style="5" customWidth="1"/>
    <col min="2591" max="2591" width="12.5703125" style="5" customWidth="1"/>
    <col min="2592" max="2592" width="11.7109375" style="5" customWidth="1"/>
    <col min="2593" max="2593" width="13" style="5" customWidth="1"/>
    <col min="2594" max="2599" width="11.7109375" style="5" customWidth="1"/>
    <col min="2600" max="2600" width="13.7109375" style="5" customWidth="1"/>
    <col min="2601" max="2601" width="13.140625" style="5" customWidth="1"/>
    <col min="2602" max="2605" width="13" style="5" customWidth="1"/>
    <col min="2606" max="2612" width="11.7109375" style="5" customWidth="1"/>
    <col min="2613" max="2613" width="10.85546875" style="5" customWidth="1"/>
    <col min="2614" max="2614" width="11.7109375" style="5" customWidth="1"/>
    <col min="2615" max="2617" width="22.7109375" style="5" customWidth="1"/>
    <col min="2618" max="2620" width="20.7109375" style="5" customWidth="1"/>
    <col min="2621" max="2808" width="8.85546875" style="5"/>
    <col min="2809" max="2809" width="6.140625" style="5" customWidth="1"/>
    <col min="2810" max="2810" width="20.28515625" style="5" customWidth="1"/>
    <col min="2811" max="2811" width="12.42578125" style="5" customWidth="1"/>
    <col min="2812" max="2812" width="13" style="5" customWidth="1"/>
    <col min="2813" max="2813" width="12.5703125" style="5" customWidth="1"/>
    <col min="2814" max="2827" width="11.7109375" style="5" customWidth="1"/>
    <col min="2828" max="2828" width="12.28515625" style="5" customWidth="1"/>
    <col min="2829" max="2829" width="11.7109375" style="5" customWidth="1"/>
    <col min="2830" max="2830" width="12.85546875" style="5" customWidth="1"/>
    <col min="2831" max="2831" width="11.7109375" style="5" customWidth="1"/>
    <col min="2832" max="2832" width="12.7109375" style="5" customWidth="1"/>
    <col min="2833" max="2833" width="11.7109375" style="5" customWidth="1"/>
    <col min="2834" max="2834" width="13" style="5" customWidth="1"/>
    <col min="2835" max="2846" width="11.7109375" style="5" customWidth="1"/>
    <col min="2847" max="2847" width="12.5703125" style="5" customWidth="1"/>
    <col min="2848" max="2848" width="11.7109375" style="5" customWidth="1"/>
    <col min="2849" max="2849" width="13" style="5" customWidth="1"/>
    <col min="2850" max="2855" width="11.7109375" style="5" customWidth="1"/>
    <col min="2856" max="2856" width="13.7109375" style="5" customWidth="1"/>
    <col min="2857" max="2857" width="13.140625" style="5" customWidth="1"/>
    <col min="2858" max="2861" width="13" style="5" customWidth="1"/>
    <col min="2862" max="2868" width="11.7109375" style="5" customWidth="1"/>
    <col min="2869" max="2869" width="10.85546875" style="5" customWidth="1"/>
    <col min="2870" max="2870" width="11.7109375" style="5" customWidth="1"/>
    <col min="2871" max="2873" width="22.7109375" style="5" customWidth="1"/>
    <col min="2874" max="2876" width="20.7109375" style="5" customWidth="1"/>
    <col min="2877" max="3064" width="8.85546875" style="5"/>
    <col min="3065" max="3065" width="6.140625" style="5" customWidth="1"/>
    <col min="3066" max="3066" width="20.28515625" style="5" customWidth="1"/>
    <col min="3067" max="3067" width="12.42578125" style="5" customWidth="1"/>
    <col min="3068" max="3068" width="13" style="5" customWidth="1"/>
    <col min="3069" max="3069" width="12.5703125" style="5" customWidth="1"/>
    <col min="3070" max="3083" width="11.7109375" style="5" customWidth="1"/>
    <col min="3084" max="3084" width="12.28515625" style="5" customWidth="1"/>
    <col min="3085" max="3085" width="11.7109375" style="5" customWidth="1"/>
    <col min="3086" max="3086" width="12.85546875" style="5" customWidth="1"/>
    <col min="3087" max="3087" width="11.7109375" style="5" customWidth="1"/>
    <col min="3088" max="3088" width="12.7109375" style="5" customWidth="1"/>
    <col min="3089" max="3089" width="11.7109375" style="5" customWidth="1"/>
    <col min="3090" max="3090" width="13" style="5" customWidth="1"/>
    <col min="3091" max="3102" width="11.7109375" style="5" customWidth="1"/>
    <col min="3103" max="3103" width="12.5703125" style="5" customWidth="1"/>
    <col min="3104" max="3104" width="11.7109375" style="5" customWidth="1"/>
    <col min="3105" max="3105" width="13" style="5" customWidth="1"/>
    <col min="3106" max="3111" width="11.7109375" style="5" customWidth="1"/>
    <col min="3112" max="3112" width="13.7109375" style="5" customWidth="1"/>
    <col min="3113" max="3113" width="13.140625" style="5" customWidth="1"/>
    <col min="3114" max="3117" width="13" style="5" customWidth="1"/>
    <col min="3118" max="3124" width="11.7109375" style="5" customWidth="1"/>
    <col min="3125" max="3125" width="10.85546875" style="5" customWidth="1"/>
    <col min="3126" max="3126" width="11.7109375" style="5" customWidth="1"/>
    <col min="3127" max="3129" width="22.7109375" style="5" customWidth="1"/>
    <col min="3130" max="3132" width="20.7109375" style="5" customWidth="1"/>
    <col min="3133" max="3320" width="8.85546875" style="5"/>
    <col min="3321" max="3321" width="6.140625" style="5" customWidth="1"/>
    <col min="3322" max="3322" width="20.28515625" style="5" customWidth="1"/>
    <col min="3323" max="3323" width="12.42578125" style="5" customWidth="1"/>
    <col min="3324" max="3324" width="13" style="5" customWidth="1"/>
    <col min="3325" max="3325" width="12.5703125" style="5" customWidth="1"/>
    <col min="3326" max="3339" width="11.7109375" style="5" customWidth="1"/>
    <col min="3340" max="3340" width="12.28515625" style="5" customWidth="1"/>
    <col min="3341" max="3341" width="11.7109375" style="5" customWidth="1"/>
    <col min="3342" max="3342" width="12.85546875" style="5" customWidth="1"/>
    <col min="3343" max="3343" width="11.7109375" style="5" customWidth="1"/>
    <col min="3344" max="3344" width="12.7109375" style="5" customWidth="1"/>
    <col min="3345" max="3345" width="11.7109375" style="5" customWidth="1"/>
    <col min="3346" max="3346" width="13" style="5" customWidth="1"/>
    <col min="3347" max="3358" width="11.7109375" style="5" customWidth="1"/>
    <col min="3359" max="3359" width="12.5703125" style="5" customWidth="1"/>
    <col min="3360" max="3360" width="11.7109375" style="5" customWidth="1"/>
    <col min="3361" max="3361" width="13" style="5" customWidth="1"/>
    <col min="3362" max="3367" width="11.7109375" style="5" customWidth="1"/>
    <col min="3368" max="3368" width="13.7109375" style="5" customWidth="1"/>
    <col min="3369" max="3369" width="13.140625" style="5" customWidth="1"/>
    <col min="3370" max="3373" width="13" style="5" customWidth="1"/>
    <col min="3374" max="3380" width="11.7109375" style="5" customWidth="1"/>
    <col min="3381" max="3381" width="10.85546875" style="5" customWidth="1"/>
    <col min="3382" max="3382" width="11.7109375" style="5" customWidth="1"/>
    <col min="3383" max="3385" width="22.7109375" style="5" customWidth="1"/>
    <col min="3386" max="3388" width="20.7109375" style="5" customWidth="1"/>
    <col min="3389" max="3576" width="8.85546875" style="5"/>
    <col min="3577" max="3577" width="6.140625" style="5" customWidth="1"/>
    <col min="3578" max="3578" width="20.28515625" style="5" customWidth="1"/>
    <col min="3579" max="3579" width="12.42578125" style="5" customWidth="1"/>
    <col min="3580" max="3580" width="13" style="5" customWidth="1"/>
    <col min="3581" max="3581" width="12.5703125" style="5" customWidth="1"/>
    <col min="3582" max="3595" width="11.7109375" style="5" customWidth="1"/>
    <col min="3596" max="3596" width="12.28515625" style="5" customWidth="1"/>
    <col min="3597" max="3597" width="11.7109375" style="5" customWidth="1"/>
    <col min="3598" max="3598" width="12.85546875" style="5" customWidth="1"/>
    <col min="3599" max="3599" width="11.7109375" style="5" customWidth="1"/>
    <col min="3600" max="3600" width="12.7109375" style="5" customWidth="1"/>
    <col min="3601" max="3601" width="11.7109375" style="5" customWidth="1"/>
    <col min="3602" max="3602" width="13" style="5" customWidth="1"/>
    <col min="3603" max="3614" width="11.7109375" style="5" customWidth="1"/>
    <col min="3615" max="3615" width="12.5703125" style="5" customWidth="1"/>
    <col min="3616" max="3616" width="11.7109375" style="5" customWidth="1"/>
    <col min="3617" max="3617" width="13" style="5" customWidth="1"/>
    <col min="3618" max="3623" width="11.7109375" style="5" customWidth="1"/>
    <col min="3624" max="3624" width="13.7109375" style="5" customWidth="1"/>
    <col min="3625" max="3625" width="13.140625" style="5" customWidth="1"/>
    <col min="3626" max="3629" width="13" style="5" customWidth="1"/>
    <col min="3630" max="3636" width="11.7109375" style="5" customWidth="1"/>
    <col min="3637" max="3637" width="10.85546875" style="5" customWidth="1"/>
    <col min="3638" max="3638" width="11.7109375" style="5" customWidth="1"/>
    <col min="3639" max="3641" width="22.7109375" style="5" customWidth="1"/>
    <col min="3642" max="3644" width="20.7109375" style="5" customWidth="1"/>
    <col min="3645" max="3832" width="8.85546875" style="5"/>
    <col min="3833" max="3833" width="6.140625" style="5" customWidth="1"/>
    <col min="3834" max="3834" width="20.28515625" style="5" customWidth="1"/>
    <col min="3835" max="3835" width="12.42578125" style="5" customWidth="1"/>
    <col min="3836" max="3836" width="13" style="5" customWidth="1"/>
    <col min="3837" max="3837" width="12.5703125" style="5" customWidth="1"/>
    <col min="3838" max="3851" width="11.7109375" style="5" customWidth="1"/>
    <col min="3852" max="3852" width="12.28515625" style="5" customWidth="1"/>
    <col min="3853" max="3853" width="11.7109375" style="5" customWidth="1"/>
    <col min="3854" max="3854" width="12.85546875" style="5" customWidth="1"/>
    <col min="3855" max="3855" width="11.7109375" style="5" customWidth="1"/>
    <col min="3856" max="3856" width="12.7109375" style="5" customWidth="1"/>
    <col min="3857" max="3857" width="11.7109375" style="5" customWidth="1"/>
    <col min="3858" max="3858" width="13" style="5" customWidth="1"/>
    <col min="3859" max="3870" width="11.7109375" style="5" customWidth="1"/>
    <col min="3871" max="3871" width="12.5703125" style="5" customWidth="1"/>
    <col min="3872" max="3872" width="11.7109375" style="5" customWidth="1"/>
    <col min="3873" max="3873" width="13" style="5" customWidth="1"/>
    <col min="3874" max="3879" width="11.7109375" style="5" customWidth="1"/>
    <col min="3880" max="3880" width="13.7109375" style="5" customWidth="1"/>
    <col min="3881" max="3881" width="13.140625" style="5" customWidth="1"/>
    <col min="3882" max="3885" width="13" style="5" customWidth="1"/>
    <col min="3886" max="3892" width="11.7109375" style="5" customWidth="1"/>
    <col min="3893" max="3893" width="10.85546875" style="5" customWidth="1"/>
    <col min="3894" max="3894" width="11.7109375" style="5" customWidth="1"/>
    <col min="3895" max="3897" width="22.7109375" style="5" customWidth="1"/>
    <col min="3898" max="3900" width="20.7109375" style="5" customWidth="1"/>
    <col min="3901" max="4088" width="8.85546875" style="5"/>
    <col min="4089" max="4089" width="6.140625" style="5" customWidth="1"/>
    <col min="4090" max="4090" width="20.28515625" style="5" customWidth="1"/>
    <col min="4091" max="4091" width="12.42578125" style="5" customWidth="1"/>
    <col min="4092" max="4092" width="13" style="5" customWidth="1"/>
    <col min="4093" max="4093" width="12.5703125" style="5" customWidth="1"/>
    <col min="4094" max="4107" width="11.7109375" style="5" customWidth="1"/>
    <col min="4108" max="4108" width="12.28515625" style="5" customWidth="1"/>
    <col min="4109" max="4109" width="11.7109375" style="5" customWidth="1"/>
    <col min="4110" max="4110" width="12.85546875" style="5" customWidth="1"/>
    <col min="4111" max="4111" width="11.7109375" style="5" customWidth="1"/>
    <col min="4112" max="4112" width="12.7109375" style="5" customWidth="1"/>
    <col min="4113" max="4113" width="11.7109375" style="5" customWidth="1"/>
    <col min="4114" max="4114" width="13" style="5" customWidth="1"/>
    <col min="4115" max="4126" width="11.7109375" style="5" customWidth="1"/>
    <col min="4127" max="4127" width="12.5703125" style="5" customWidth="1"/>
    <col min="4128" max="4128" width="11.7109375" style="5" customWidth="1"/>
    <col min="4129" max="4129" width="13" style="5" customWidth="1"/>
    <col min="4130" max="4135" width="11.7109375" style="5" customWidth="1"/>
    <col min="4136" max="4136" width="13.7109375" style="5" customWidth="1"/>
    <col min="4137" max="4137" width="13.140625" style="5" customWidth="1"/>
    <col min="4138" max="4141" width="13" style="5" customWidth="1"/>
    <col min="4142" max="4148" width="11.7109375" style="5" customWidth="1"/>
    <col min="4149" max="4149" width="10.85546875" style="5" customWidth="1"/>
    <col min="4150" max="4150" width="11.7109375" style="5" customWidth="1"/>
    <col min="4151" max="4153" width="22.7109375" style="5" customWidth="1"/>
    <col min="4154" max="4156" width="20.7109375" style="5" customWidth="1"/>
    <col min="4157" max="4344" width="8.85546875" style="5"/>
    <col min="4345" max="4345" width="6.140625" style="5" customWidth="1"/>
    <col min="4346" max="4346" width="20.28515625" style="5" customWidth="1"/>
    <col min="4347" max="4347" width="12.42578125" style="5" customWidth="1"/>
    <col min="4348" max="4348" width="13" style="5" customWidth="1"/>
    <col min="4349" max="4349" width="12.5703125" style="5" customWidth="1"/>
    <col min="4350" max="4363" width="11.7109375" style="5" customWidth="1"/>
    <col min="4364" max="4364" width="12.28515625" style="5" customWidth="1"/>
    <col min="4365" max="4365" width="11.7109375" style="5" customWidth="1"/>
    <col min="4366" max="4366" width="12.85546875" style="5" customWidth="1"/>
    <col min="4367" max="4367" width="11.7109375" style="5" customWidth="1"/>
    <col min="4368" max="4368" width="12.7109375" style="5" customWidth="1"/>
    <col min="4369" max="4369" width="11.7109375" style="5" customWidth="1"/>
    <col min="4370" max="4370" width="13" style="5" customWidth="1"/>
    <col min="4371" max="4382" width="11.7109375" style="5" customWidth="1"/>
    <col min="4383" max="4383" width="12.5703125" style="5" customWidth="1"/>
    <col min="4384" max="4384" width="11.7109375" style="5" customWidth="1"/>
    <col min="4385" max="4385" width="13" style="5" customWidth="1"/>
    <col min="4386" max="4391" width="11.7109375" style="5" customWidth="1"/>
    <col min="4392" max="4392" width="13.7109375" style="5" customWidth="1"/>
    <col min="4393" max="4393" width="13.140625" style="5" customWidth="1"/>
    <col min="4394" max="4397" width="13" style="5" customWidth="1"/>
    <col min="4398" max="4404" width="11.7109375" style="5" customWidth="1"/>
    <col min="4405" max="4405" width="10.85546875" style="5" customWidth="1"/>
    <col min="4406" max="4406" width="11.7109375" style="5" customWidth="1"/>
    <col min="4407" max="4409" width="22.7109375" style="5" customWidth="1"/>
    <col min="4410" max="4412" width="20.7109375" style="5" customWidth="1"/>
    <col min="4413" max="4600" width="8.85546875" style="5"/>
    <col min="4601" max="4601" width="6.140625" style="5" customWidth="1"/>
    <col min="4602" max="4602" width="20.28515625" style="5" customWidth="1"/>
    <col min="4603" max="4603" width="12.42578125" style="5" customWidth="1"/>
    <col min="4604" max="4604" width="13" style="5" customWidth="1"/>
    <col min="4605" max="4605" width="12.5703125" style="5" customWidth="1"/>
    <col min="4606" max="4619" width="11.7109375" style="5" customWidth="1"/>
    <col min="4620" max="4620" width="12.28515625" style="5" customWidth="1"/>
    <col min="4621" max="4621" width="11.7109375" style="5" customWidth="1"/>
    <col min="4622" max="4622" width="12.85546875" style="5" customWidth="1"/>
    <col min="4623" max="4623" width="11.7109375" style="5" customWidth="1"/>
    <col min="4624" max="4624" width="12.7109375" style="5" customWidth="1"/>
    <col min="4625" max="4625" width="11.7109375" style="5" customWidth="1"/>
    <col min="4626" max="4626" width="13" style="5" customWidth="1"/>
    <col min="4627" max="4638" width="11.7109375" style="5" customWidth="1"/>
    <col min="4639" max="4639" width="12.5703125" style="5" customWidth="1"/>
    <col min="4640" max="4640" width="11.7109375" style="5" customWidth="1"/>
    <col min="4641" max="4641" width="13" style="5" customWidth="1"/>
    <col min="4642" max="4647" width="11.7109375" style="5" customWidth="1"/>
    <col min="4648" max="4648" width="13.7109375" style="5" customWidth="1"/>
    <col min="4649" max="4649" width="13.140625" style="5" customWidth="1"/>
    <col min="4650" max="4653" width="13" style="5" customWidth="1"/>
    <col min="4654" max="4660" width="11.7109375" style="5" customWidth="1"/>
    <col min="4661" max="4661" width="10.85546875" style="5" customWidth="1"/>
    <col min="4662" max="4662" width="11.7109375" style="5" customWidth="1"/>
    <col min="4663" max="4665" width="22.7109375" style="5" customWidth="1"/>
    <col min="4666" max="4668" width="20.7109375" style="5" customWidth="1"/>
    <col min="4669" max="4856" width="8.85546875" style="5"/>
    <col min="4857" max="4857" width="6.140625" style="5" customWidth="1"/>
    <col min="4858" max="4858" width="20.28515625" style="5" customWidth="1"/>
    <col min="4859" max="4859" width="12.42578125" style="5" customWidth="1"/>
    <col min="4860" max="4860" width="13" style="5" customWidth="1"/>
    <col min="4861" max="4861" width="12.5703125" style="5" customWidth="1"/>
    <col min="4862" max="4875" width="11.7109375" style="5" customWidth="1"/>
    <col min="4876" max="4876" width="12.28515625" style="5" customWidth="1"/>
    <col min="4877" max="4877" width="11.7109375" style="5" customWidth="1"/>
    <col min="4878" max="4878" width="12.85546875" style="5" customWidth="1"/>
    <col min="4879" max="4879" width="11.7109375" style="5" customWidth="1"/>
    <col min="4880" max="4880" width="12.7109375" style="5" customWidth="1"/>
    <col min="4881" max="4881" width="11.7109375" style="5" customWidth="1"/>
    <col min="4882" max="4882" width="13" style="5" customWidth="1"/>
    <col min="4883" max="4894" width="11.7109375" style="5" customWidth="1"/>
    <col min="4895" max="4895" width="12.5703125" style="5" customWidth="1"/>
    <col min="4896" max="4896" width="11.7109375" style="5" customWidth="1"/>
    <col min="4897" max="4897" width="13" style="5" customWidth="1"/>
    <col min="4898" max="4903" width="11.7109375" style="5" customWidth="1"/>
    <col min="4904" max="4904" width="13.7109375" style="5" customWidth="1"/>
    <col min="4905" max="4905" width="13.140625" style="5" customWidth="1"/>
    <col min="4906" max="4909" width="13" style="5" customWidth="1"/>
    <col min="4910" max="4916" width="11.7109375" style="5" customWidth="1"/>
    <col min="4917" max="4917" width="10.85546875" style="5" customWidth="1"/>
    <col min="4918" max="4918" width="11.7109375" style="5" customWidth="1"/>
    <col min="4919" max="4921" width="22.7109375" style="5" customWidth="1"/>
    <col min="4922" max="4924" width="20.7109375" style="5" customWidth="1"/>
    <col min="4925" max="5112" width="8.85546875" style="5"/>
    <col min="5113" max="5113" width="6.140625" style="5" customWidth="1"/>
    <col min="5114" max="5114" width="20.28515625" style="5" customWidth="1"/>
    <col min="5115" max="5115" width="12.42578125" style="5" customWidth="1"/>
    <col min="5116" max="5116" width="13" style="5" customWidth="1"/>
    <col min="5117" max="5117" width="12.5703125" style="5" customWidth="1"/>
    <col min="5118" max="5131" width="11.7109375" style="5" customWidth="1"/>
    <col min="5132" max="5132" width="12.28515625" style="5" customWidth="1"/>
    <col min="5133" max="5133" width="11.7109375" style="5" customWidth="1"/>
    <col min="5134" max="5134" width="12.85546875" style="5" customWidth="1"/>
    <col min="5135" max="5135" width="11.7109375" style="5" customWidth="1"/>
    <col min="5136" max="5136" width="12.7109375" style="5" customWidth="1"/>
    <col min="5137" max="5137" width="11.7109375" style="5" customWidth="1"/>
    <col min="5138" max="5138" width="13" style="5" customWidth="1"/>
    <col min="5139" max="5150" width="11.7109375" style="5" customWidth="1"/>
    <col min="5151" max="5151" width="12.5703125" style="5" customWidth="1"/>
    <col min="5152" max="5152" width="11.7109375" style="5" customWidth="1"/>
    <col min="5153" max="5153" width="13" style="5" customWidth="1"/>
    <col min="5154" max="5159" width="11.7109375" style="5" customWidth="1"/>
    <col min="5160" max="5160" width="13.7109375" style="5" customWidth="1"/>
    <col min="5161" max="5161" width="13.140625" style="5" customWidth="1"/>
    <col min="5162" max="5165" width="13" style="5" customWidth="1"/>
    <col min="5166" max="5172" width="11.7109375" style="5" customWidth="1"/>
    <col min="5173" max="5173" width="10.85546875" style="5" customWidth="1"/>
    <col min="5174" max="5174" width="11.7109375" style="5" customWidth="1"/>
    <col min="5175" max="5177" width="22.7109375" style="5" customWidth="1"/>
    <col min="5178" max="5180" width="20.7109375" style="5" customWidth="1"/>
    <col min="5181" max="5368" width="8.85546875" style="5"/>
    <col min="5369" max="5369" width="6.140625" style="5" customWidth="1"/>
    <col min="5370" max="5370" width="20.28515625" style="5" customWidth="1"/>
    <col min="5371" max="5371" width="12.42578125" style="5" customWidth="1"/>
    <col min="5372" max="5372" width="13" style="5" customWidth="1"/>
    <col min="5373" max="5373" width="12.5703125" style="5" customWidth="1"/>
    <col min="5374" max="5387" width="11.7109375" style="5" customWidth="1"/>
    <col min="5388" max="5388" width="12.28515625" style="5" customWidth="1"/>
    <col min="5389" max="5389" width="11.7109375" style="5" customWidth="1"/>
    <col min="5390" max="5390" width="12.85546875" style="5" customWidth="1"/>
    <col min="5391" max="5391" width="11.7109375" style="5" customWidth="1"/>
    <col min="5392" max="5392" width="12.7109375" style="5" customWidth="1"/>
    <col min="5393" max="5393" width="11.7109375" style="5" customWidth="1"/>
    <col min="5394" max="5394" width="13" style="5" customWidth="1"/>
    <col min="5395" max="5406" width="11.7109375" style="5" customWidth="1"/>
    <col min="5407" max="5407" width="12.5703125" style="5" customWidth="1"/>
    <col min="5408" max="5408" width="11.7109375" style="5" customWidth="1"/>
    <col min="5409" max="5409" width="13" style="5" customWidth="1"/>
    <col min="5410" max="5415" width="11.7109375" style="5" customWidth="1"/>
    <col min="5416" max="5416" width="13.7109375" style="5" customWidth="1"/>
    <col min="5417" max="5417" width="13.140625" style="5" customWidth="1"/>
    <col min="5418" max="5421" width="13" style="5" customWidth="1"/>
    <col min="5422" max="5428" width="11.7109375" style="5" customWidth="1"/>
    <col min="5429" max="5429" width="10.85546875" style="5" customWidth="1"/>
    <col min="5430" max="5430" width="11.7109375" style="5" customWidth="1"/>
    <col min="5431" max="5433" width="22.7109375" style="5" customWidth="1"/>
    <col min="5434" max="5436" width="20.7109375" style="5" customWidth="1"/>
    <col min="5437" max="5624" width="8.85546875" style="5"/>
    <col min="5625" max="5625" width="6.140625" style="5" customWidth="1"/>
    <col min="5626" max="5626" width="20.28515625" style="5" customWidth="1"/>
    <col min="5627" max="5627" width="12.42578125" style="5" customWidth="1"/>
    <col min="5628" max="5628" width="13" style="5" customWidth="1"/>
    <col min="5629" max="5629" width="12.5703125" style="5" customWidth="1"/>
    <col min="5630" max="5643" width="11.7109375" style="5" customWidth="1"/>
    <col min="5644" max="5644" width="12.28515625" style="5" customWidth="1"/>
    <col min="5645" max="5645" width="11.7109375" style="5" customWidth="1"/>
    <col min="5646" max="5646" width="12.85546875" style="5" customWidth="1"/>
    <col min="5647" max="5647" width="11.7109375" style="5" customWidth="1"/>
    <col min="5648" max="5648" width="12.7109375" style="5" customWidth="1"/>
    <col min="5649" max="5649" width="11.7109375" style="5" customWidth="1"/>
    <col min="5650" max="5650" width="13" style="5" customWidth="1"/>
    <col min="5651" max="5662" width="11.7109375" style="5" customWidth="1"/>
    <col min="5663" max="5663" width="12.5703125" style="5" customWidth="1"/>
    <col min="5664" max="5664" width="11.7109375" style="5" customWidth="1"/>
    <col min="5665" max="5665" width="13" style="5" customWidth="1"/>
    <col min="5666" max="5671" width="11.7109375" style="5" customWidth="1"/>
    <col min="5672" max="5672" width="13.7109375" style="5" customWidth="1"/>
    <col min="5673" max="5673" width="13.140625" style="5" customWidth="1"/>
    <col min="5674" max="5677" width="13" style="5" customWidth="1"/>
    <col min="5678" max="5684" width="11.7109375" style="5" customWidth="1"/>
    <col min="5685" max="5685" width="10.85546875" style="5" customWidth="1"/>
    <col min="5686" max="5686" width="11.7109375" style="5" customWidth="1"/>
    <col min="5687" max="5689" width="22.7109375" style="5" customWidth="1"/>
    <col min="5690" max="5692" width="20.7109375" style="5" customWidth="1"/>
    <col min="5693" max="5880" width="8.85546875" style="5"/>
    <col min="5881" max="5881" width="6.140625" style="5" customWidth="1"/>
    <col min="5882" max="5882" width="20.28515625" style="5" customWidth="1"/>
    <col min="5883" max="5883" width="12.42578125" style="5" customWidth="1"/>
    <col min="5884" max="5884" width="13" style="5" customWidth="1"/>
    <col min="5885" max="5885" width="12.5703125" style="5" customWidth="1"/>
    <col min="5886" max="5899" width="11.7109375" style="5" customWidth="1"/>
    <col min="5900" max="5900" width="12.28515625" style="5" customWidth="1"/>
    <col min="5901" max="5901" width="11.7109375" style="5" customWidth="1"/>
    <col min="5902" max="5902" width="12.85546875" style="5" customWidth="1"/>
    <col min="5903" max="5903" width="11.7109375" style="5" customWidth="1"/>
    <col min="5904" max="5904" width="12.7109375" style="5" customWidth="1"/>
    <col min="5905" max="5905" width="11.7109375" style="5" customWidth="1"/>
    <col min="5906" max="5906" width="13" style="5" customWidth="1"/>
    <col min="5907" max="5918" width="11.7109375" style="5" customWidth="1"/>
    <col min="5919" max="5919" width="12.5703125" style="5" customWidth="1"/>
    <col min="5920" max="5920" width="11.7109375" style="5" customWidth="1"/>
    <col min="5921" max="5921" width="13" style="5" customWidth="1"/>
    <col min="5922" max="5927" width="11.7109375" style="5" customWidth="1"/>
    <col min="5928" max="5928" width="13.7109375" style="5" customWidth="1"/>
    <col min="5929" max="5929" width="13.140625" style="5" customWidth="1"/>
    <col min="5930" max="5933" width="13" style="5" customWidth="1"/>
    <col min="5934" max="5940" width="11.7109375" style="5" customWidth="1"/>
    <col min="5941" max="5941" width="10.85546875" style="5" customWidth="1"/>
    <col min="5942" max="5942" width="11.7109375" style="5" customWidth="1"/>
    <col min="5943" max="5945" width="22.7109375" style="5" customWidth="1"/>
    <col min="5946" max="5948" width="20.7109375" style="5" customWidth="1"/>
    <col min="5949" max="6136" width="8.85546875" style="5"/>
    <col min="6137" max="6137" width="6.140625" style="5" customWidth="1"/>
    <col min="6138" max="6138" width="20.28515625" style="5" customWidth="1"/>
    <col min="6139" max="6139" width="12.42578125" style="5" customWidth="1"/>
    <col min="6140" max="6140" width="13" style="5" customWidth="1"/>
    <col min="6141" max="6141" width="12.5703125" style="5" customWidth="1"/>
    <col min="6142" max="6155" width="11.7109375" style="5" customWidth="1"/>
    <col min="6156" max="6156" width="12.28515625" style="5" customWidth="1"/>
    <col min="6157" max="6157" width="11.7109375" style="5" customWidth="1"/>
    <col min="6158" max="6158" width="12.85546875" style="5" customWidth="1"/>
    <col min="6159" max="6159" width="11.7109375" style="5" customWidth="1"/>
    <col min="6160" max="6160" width="12.7109375" style="5" customWidth="1"/>
    <col min="6161" max="6161" width="11.7109375" style="5" customWidth="1"/>
    <col min="6162" max="6162" width="13" style="5" customWidth="1"/>
    <col min="6163" max="6174" width="11.7109375" style="5" customWidth="1"/>
    <col min="6175" max="6175" width="12.5703125" style="5" customWidth="1"/>
    <col min="6176" max="6176" width="11.7109375" style="5" customWidth="1"/>
    <col min="6177" max="6177" width="13" style="5" customWidth="1"/>
    <col min="6178" max="6183" width="11.7109375" style="5" customWidth="1"/>
    <col min="6184" max="6184" width="13.7109375" style="5" customWidth="1"/>
    <col min="6185" max="6185" width="13.140625" style="5" customWidth="1"/>
    <col min="6186" max="6189" width="13" style="5" customWidth="1"/>
    <col min="6190" max="6196" width="11.7109375" style="5" customWidth="1"/>
    <col min="6197" max="6197" width="10.85546875" style="5" customWidth="1"/>
    <col min="6198" max="6198" width="11.7109375" style="5" customWidth="1"/>
    <col min="6199" max="6201" width="22.7109375" style="5" customWidth="1"/>
    <col min="6202" max="6204" width="20.7109375" style="5" customWidth="1"/>
    <col min="6205" max="6392" width="8.85546875" style="5"/>
    <col min="6393" max="6393" width="6.140625" style="5" customWidth="1"/>
    <col min="6394" max="6394" width="20.28515625" style="5" customWidth="1"/>
    <col min="6395" max="6395" width="12.42578125" style="5" customWidth="1"/>
    <col min="6396" max="6396" width="13" style="5" customWidth="1"/>
    <col min="6397" max="6397" width="12.5703125" style="5" customWidth="1"/>
    <col min="6398" max="6411" width="11.7109375" style="5" customWidth="1"/>
    <col min="6412" max="6412" width="12.28515625" style="5" customWidth="1"/>
    <col min="6413" max="6413" width="11.7109375" style="5" customWidth="1"/>
    <col min="6414" max="6414" width="12.85546875" style="5" customWidth="1"/>
    <col min="6415" max="6415" width="11.7109375" style="5" customWidth="1"/>
    <col min="6416" max="6416" width="12.7109375" style="5" customWidth="1"/>
    <col min="6417" max="6417" width="11.7109375" style="5" customWidth="1"/>
    <col min="6418" max="6418" width="13" style="5" customWidth="1"/>
    <col min="6419" max="6430" width="11.7109375" style="5" customWidth="1"/>
    <col min="6431" max="6431" width="12.5703125" style="5" customWidth="1"/>
    <col min="6432" max="6432" width="11.7109375" style="5" customWidth="1"/>
    <col min="6433" max="6433" width="13" style="5" customWidth="1"/>
    <col min="6434" max="6439" width="11.7109375" style="5" customWidth="1"/>
    <col min="6440" max="6440" width="13.7109375" style="5" customWidth="1"/>
    <col min="6441" max="6441" width="13.140625" style="5" customWidth="1"/>
    <col min="6442" max="6445" width="13" style="5" customWidth="1"/>
    <col min="6446" max="6452" width="11.7109375" style="5" customWidth="1"/>
    <col min="6453" max="6453" width="10.85546875" style="5" customWidth="1"/>
    <col min="6454" max="6454" width="11.7109375" style="5" customWidth="1"/>
    <col min="6455" max="6457" width="22.7109375" style="5" customWidth="1"/>
    <col min="6458" max="6460" width="20.7109375" style="5" customWidth="1"/>
    <col min="6461" max="6648" width="8.85546875" style="5"/>
    <col min="6649" max="6649" width="6.140625" style="5" customWidth="1"/>
    <col min="6650" max="6650" width="20.28515625" style="5" customWidth="1"/>
    <col min="6651" max="6651" width="12.42578125" style="5" customWidth="1"/>
    <col min="6652" max="6652" width="13" style="5" customWidth="1"/>
    <col min="6653" max="6653" width="12.5703125" style="5" customWidth="1"/>
    <col min="6654" max="6667" width="11.7109375" style="5" customWidth="1"/>
    <col min="6668" max="6668" width="12.28515625" style="5" customWidth="1"/>
    <col min="6669" max="6669" width="11.7109375" style="5" customWidth="1"/>
    <col min="6670" max="6670" width="12.85546875" style="5" customWidth="1"/>
    <col min="6671" max="6671" width="11.7109375" style="5" customWidth="1"/>
    <col min="6672" max="6672" width="12.7109375" style="5" customWidth="1"/>
    <col min="6673" max="6673" width="11.7109375" style="5" customWidth="1"/>
    <col min="6674" max="6674" width="13" style="5" customWidth="1"/>
    <col min="6675" max="6686" width="11.7109375" style="5" customWidth="1"/>
    <col min="6687" max="6687" width="12.5703125" style="5" customWidth="1"/>
    <col min="6688" max="6688" width="11.7109375" style="5" customWidth="1"/>
    <col min="6689" max="6689" width="13" style="5" customWidth="1"/>
    <col min="6690" max="6695" width="11.7109375" style="5" customWidth="1"/>
    <col min="6696" max="6696" width="13.7109375" style="5" customWidth="1"/>
    <col min="6697" max="6697" width="13.140625" style="5" customWidth="1"/>
    <col min="6698" max="6701" width="13" style="5" customWidth="1"/>
    <col min="6702" max="6708" width="11.7109375" style="5" customWidth="1"/>
    <col min="6709" max="6709" width="10.85546875" style="5" customWidth="1"/>
    <col min="6710" max="6710" width="11.7109375" style="5" customWidth="1"/>
    <col min="6711" max="6713" width="22.7109375" style="5" customWidth="1"/>
    <col min="6714" max="6716" width="20.7109375" style="5" customWidth="1"/>
    <col min="6717" max="6904" width="8.85546875" style="5"/>
    <col min="6905" max="6905" width="6.140625" style="5" customWidth="1"/>
    <col min="6906" max="6906" width="20.28515625" style="5" customWidth="1"/>
    <col min="6907" max="6907" width="12.42578125" style="5" customWidth="1"/>
    <col min="6908" max="6908" width="13" style="5" customWidth="1"/>
    <col min="6909" max="6909" width="12.5703125" style="5" customWidth="1"/>
    <col min="6910" max="6923" width="11.7109375" style="5" customWidth="1"/>
    <col min="6924" max="6924" width="12.28515625" style="5" customWidth="1"/>
    <col min="6925" max="6925" width="11.7109375" style="5" customWidth="1"/>
    <col min="6926" max="6926" width="12.85546875" style="5" customWidth="1"/>
    <col min="6927" max="6927" width="11.7109375" style="5" customWidth="1"/>
    <col min="6928" max="6928" width="12.7109375" style="5" customWidth="1"/>
    <col min="6929" max="6929" width="11.7109375" style="5" customWidth="1"/>
    <col min="6930" max="6930" width="13" style="5" customWidth="1"/>
    <col min="6931" max="6942" width="11.7109375" style="5" customWidth="1"/>
    <col min="6943" max="6943" width="12.5703125" style="5" customWidth="1"/>
    <col min="6944" max="6944" width="11.7109375" style="5" customWidth="1"/>
    <col min="6945" max="6945" width="13" style="5" customWidth="1"/>
    <col min="6946" max="6951" width="11.7109375" style="5" customWidth="1"/>
    <col min="6952" max="6952" width="13.7109375" style="5" customWidth="1"/>
    <col min="6953" max="6953" width="13.140625" style="5" customWidth="1"/>
    <col min="6954" max="6957" width="13" style="5" customWidth="1"/>
    <col min="6958" max="6964" width="11.7109375" style="5" customWidth="1"/>
    <col min="6965" max="6965" width="10.85546875" style="5" customWidth="1"/>
    <col min="6966" max="6966" width="11.7109375" style="5" customWidth="1"/>
    <col min="6967" max="6969" width="22.7109375" style="5" customWidth="1"/>
    <col min="6970" max="6972" width="20.7109375" style="5" customWidth="1"/>
    <col min="6973" max="7160" width="8.85546875" style="5"/>
    <col min="7161" max="7161" width="6.140625" style="5" customWidth="1"/>
    <col min="7162" max="7162" width="20.28515625" style="5" customWidth="1"/>
    <col min="7163" max="7163" width="12.42578125" style="5" customWidth="1"/>
    <col min="7164" max="7164" width="13" style="5" customWidth="1"/>
    <col min="7165" max="7165" width="12.5703125" style="5" customWidth="1"/>
    <col min="7166" max="7179" width="11.7109375" style="5" customWidth="1"/>
    <col min="7180" max="7180" width="12.28515625" style="5" customWidth="1"/>
    <col min="7181" max="7181" width="11.7109375" style="5" customWidth="1"/>
    <col min="7182" max="7182" width="12.85546875" style="5" customWidth="1"/>
    <col min="7183" max="7183" width="11.7109375" style="5" customWidth="1"/>
    <col min="7184" max="7184" width="12.7109375" style="5" customWidth="1"/>
    <col min="7185" max="7185" width="11.7109375" style="5" customWidth="1"/>
    <col min="7186" max="7186" width="13" style="5" customWidth="1"/>
    <col min="7187" max="7198" width="11.7109375" style="5" customWidth="1"/>
    <col min="7199" max="7199" width="12.5703125" style="5" customWidth="1"/>
    <col min="7200" max="7200" width="11.7109375" style="5" customWidth="1"/>
    <col min="7201" max="7201" width="13" style="5" customWidth="1"/>
    <col min="7202" max="7207" width="11.7109375" style="5" customWidth="1"/>
    <col min="7208" max="7208" width="13.7109375" style="5" customWidth="1"/>
    <col min="7209" max="7209" width="13.140625" style="5" customWidth="1"/>
    <col min="7210" max="7213" width="13" style="5" customWidth="1"/>
    <col min="7214" max="7220" width="11.7109375" style="5" customWidth="1"/>
    <col min="7221" max="7221" width="10.85546875" style="5" customWidth="1"/>
    <col min="7222" max="7222" width="11.7109375" style="5" customWidth="1"/>
    <col min="7223" max="7225" width="22.7109375" style="5" customWidth="1"/>
    <col min="7226" max="7228" width="20.7109375" style="5" customWidth="1"/>
    <col min="7229" max="7416" width="8.85546875" style="5"/>
    <col min="7417" max="7417" width="6.140625" style="5" customWidth="1"/>
    <col min="7418" max="7418" width="20.28515625" style="5" customWidth="1"/>
    <col min="7419" max="7419" width="12.42578125" style="5" customWidth="1"/>
    <col min="7420" max="7420" width="13" style="5" customWidth="1"/>
    <col min="7421" max="7421" width="12.5703125" style="5" customWidth="1"/>
    <col min="7422" max="7435" width="11.7109375" style="5" customWidth="1"/>
    <col min="7436" max="7436" width="12.28515625" style="5" customWidth="1"/>
    <col min="7437" max="7437" width="11.7109375" style="5" customWidth="1"/>
    <col min="7438" max="7438" width="12.85546875" style="5" customWidth="1"/>
    <col min="7439" max="7439" width="11.7109375" style="5" customWidth="1"/>
    <col min="7440" max="7440" width="12.7109375" style="5" customWidth="1"/>
    <col min="7441" max="7441" width="11.7109375" style="5" customWidth="1"/>
    <col min="7442" max="7442" width="13" style="5" customWidth="1"/>
    <col min="7443" max="7454" width="11.7109375" style="5" customWidth="1"/>
    <col min="7455" max="7455" width="12.5703125" style="5" customWidth="1"/>
    <col min="7456" max="7456" width="11.7109375" style="5" customWidth="1"/>
    <col min="7457" max="7457" width="13" style="5" customWidth="1"/>
    <col min="7458" max="7463" width="11.7109375" style="5" customWidth="1"/>
    <col min="7464" max="7464" width="13.7109375" style="5" customWidth="1"/>
    <col min="7465" max="7465" width="13.140625" style="5" customWidth="1"/>
    <col min="7466" max="7469" width="13" style="5" customWidth="1"/>
    <col min="7470" max="7476" width="11.7109375" style="5" customWidth="1"/>
    <col min="7477" max="7477" width="10.85546875" style="5" customWidth="1"/>
    <col min="7478" max="7478" width="11.7109375" style="5" customWidth="1"/>
    <col min="7479" max="7481" width="22.7109375" style="5" customWidth="1"/>
    <col min="7482" max="7484" width="20.7109375" style="5" customWidth="1"/>
    <col min="7485" max="7672" width="8.85546875" style="5"/>
    <col min="7673" max="7673" width="6.140625" style="5" customWidth="1"/>
    <col min="7674" max="7674" width="20.28515625" style="5" customWidth="1"/>
    <col min="7675" max="7675" width="12.42578125" style="5" customWidth="1"/>
    <col min="7676" max="7676" width="13" style="5" customWidth="1"/>
    <col min="7677" max="7677" width="12.5703125" style="5" customWidth="1"/>
    <col min="7678" max="7691" width="11.7109375" style="5" customWidth="1"/>
    <col min="7692" max="7692" width="12.28515625" style="5" customWidth="1"/>
    <col min="7693" max="7693" width="11.7109375" style="5" customWidth="1"/>
    <col min="7694" max="7694" width="12.85546875" style="5" customWidth="1"/>
    <col min="7695" max="7695" width="11.7109375" style="5" customWidth="1"/>
    <col min="7696" max="7696" width="12.7109375" style="5" customWidth="1"/>
    <col min="7697" max="7697" width="11.7109375" style="5" customWidth="1"/>
    <col min="7698" max="7698" width="13" style="5" customWidth="1"/>
    <col min="7699" max="7710" width="11.7109375" style="5" customWidth="1"/>
    <col min="7711" max="7711" width="12.5703125" style="5" customWidth="1"/>
    <col min="7712" max="7712" width="11.7109375" style="5" customWidth="1"/>
    <col min="7713" max="7713" width="13" style="5" customWidth="1"/>
    <col min="7714" max="7719" width="11.7109375" style="5" customWidth="1"/>
    <col min="7720" max="7720" width="13.7109375" style="5" customWidth="1"/>
    <col min="7721" max="7721" width="13.140625" style="5" customWidth="1"/>
    <col min="7722" max="7725" width="13" style="5" customWidth="1"/>
    <col min="7726" max="7732" width="11.7109375" style="5" customWidth="1"/>
    <col min="7733" max="7733" width="10.85546875" style="5" customWidth="1"/>
    <col min="7734" max="7734" width="11.7109375" style="5" customWidth="1"/>
    <col min="7735" max="7737" width="22.7109375" style="5" customWidth="1"/>
    <col min="7738" max="7740" width="20.7109375" style="5" customWidth="1"/>
    <col min="7741" max="7928" width="8.85546875" style="5"/>
    <col min="7929" max="7929" width="6.140625" style="5" customWidth="1"/>
    <col min="7930" max="7930" width="20.28515625" style="5" customWidth="1"/>
    <col min="7931" max="7931" width="12.42578125" style="5" customWidth="1"/>
    <col min="7932" max="7932" width="13" style="5" customWidth="1"/>
    <col min="7933" max="7933" width="12.5703125" style="5" customWidth="1"/>
    <col min="7934" max="7947" width="11.7109375" style="5" customWidth="1"/>
    <col min="7948" max="7948" width="12.28515625" style="5" customWidth="1"/>
    <col min="7949" max="7949" width="11.7109375" style="5" customWidth="1"/>
    <col min="7950" max="7950" width="12.85546875" style="5" customWidth="1"/>
    <col min="7951" max="7951" width="11.7109375" style="5" customWidth="1"/>
    <col min="7952" max="7952" width="12.7109375" style="5" customWidth="1"/>
    <col min="7953" max="7953" width="11.7109375" style="5" customWidth="1"/>
    <col min="7954" max="7954" width="13" style="5" customWidth="1"/>
    <col min="7955" max="7966" width="11.7109375" style="5" customWidth="1"/>
    <col min="7967" max="7967" width="12.5703125" style="5" customWidth="1"/>
    <col min="7968" max="7968" width="11.7109375" style="5" customWidth="1"/>
    <col min="7969" max="7969" width="13" style="5" customWidth="1"/>
    <col min="7970" max="7975" width="11.7109375" style="5" customWidth="1"/>
    <col min="7976" max="7976" width="13.7109375" style="5" customWidth="1"/>
    <col min="7977" max="7977" width="13.140625" style="5" customWidth="1"/>
    <col min="7978" max="7981" width="13" style="5" customWidth="1"/>
    <col min="7982" max="7988" width="11.7109375" style="5" customWidth="1"/>
    <col min="7989" max="7989" width="10.85546875" style="5" customWidth="1"/>
    <col min="7990" max="7990" width="11.7109375" style="5" customWidth="1"/>
    <col min="7991" max="7993" width="22.7109375" style="5" customWidth="1"/>
    <col min="7994" max="7996" width="20.7109375" style="5" customWidth="1"/>
    <col min="7997" max="8184" width="8.85546875" style="5"/>
    <col min="8185" max="8185" width="6.140625" style="5" customWidth="1"/>
    <col min="8186" max="8186" width="20.28515625" style="5" customWidth="1"/>
    <col min="8187" max="8187" width="12.42578125" style="5" customWidth="1"/>
    <col min="8188" max="8188" width="13" style="5" customWidth="1"/>
    <col min="8189" max="8189" width="12.5703125" style="5" customWidth="1"/>
    <col min="8190" max="8203" width="11.7109375" style="5" customWidth="1"/>
    <col min="8204" max="8204" width="12.28515625" style="5" customWidth="1"/>
    <col min="8205" max="8205" width="11.7109375" style="5" customWidth="1"/>
    <col min="8206" max="8206" width="12.85546875" style="5" customWidth="1"/>
    <col min="8207" max="8207" width="11.7109375" style="5" customWidth="1"/>
    <col min="8208" max="8208" width="12.7109375" style="5" customWidth="1"/>
    <col min="8209" max="8209" width="11.7109375" style="5" customWidth="1"/>
    <col min="8210" max="8210" width="13" style="5" customWidth="1"/>
    <col min="8211" max="8222" width="11.7109375" style="5" customWidth="1"/>
    <col min="8223" max="8223" width="12.5703125" style="5" customWidth="1"/>
    <col min="8224" max="8224" width="11.7109375" style="5" customWidth="1"/>
    <col min="8225" max="8225" width="13" style="5" customWidth="1"/>
    <col min="8226" max="8231" width="11.7109375" style="5" customWidth="1"/>
    <col min="8232" max="8232" width="13.7109375" style="5" customWidth="1"/>
    <col min="8233" max="8233" width="13.140625" style="5" customWidth="1"/>
    <col min="8234" max="8237" width="13" style="5" customWidth="1"/>
    <col min="8238" max="8244" width="11.7109375" style="5" customWidth="1"/>
    <col min="8245" max="8245" width="10.85546875" style="5" customWidth="1"/>
    <col min="8246" max="8246" width="11.7109375" style="5" customWidth="1"/>
    <col min="8247" max="8249" width="22.7109375" style="5" customWidth="1"/>
    <col min="8250" max="8252" width="20.7109375" style="5" customWidth="1"/>
    <col min="8253" max="8440" width="8.85546875" style="5"/>
    <col min="8441" max="8441" width="6.140625" style="5" customWidth="1"/>
    <col min="8442" max="8442" width="20.28515625" style="5" customWidth="1"/>
    <col min="8443" max="8443" width="12.42578125" style="5" customWidth="1"/>
    <col min="8444" max="8444" width="13" style="5" customWidth="1"/>
    <col min="8445" max="8445" width="12.5703125" style="5" customWidth="1"/>
    <col min="8446" max="8459" width="11.7109375" style="5" customWidth="1"/>
    <col min="8460" max="8460" width="12.28515625" style="5" customWidth="1"/>
    <col min="8461" max="8461" width="11.7109375" style="5" customWidth="1"/>
    <col min="8462" max="8462" width="12.85546875" style="5" customWidth="1"/>
    <col min="8463" max="8463" width="11.7109375" style="5" customWidth="1"/>
    <col min="8464" max="8464" width="12.7109375" style="5" customWidth="1"/>
    <col min="8465" max="8465" width="11.7109375" style="5" customWidth="1"/>
    <col min="8466" max="8466" width="13" style="5" customWidth="1"/>
    <col min="8467" max="8478" width="11.7109375" style="5" customWidth="1"/>
    <col min="8479" max="8479" width="12.5703125" style="5" customWidth="1"/>
    <col min="8480" max="8480" width="11.7109375" style="5" customWidth="1"/>
    <col min="8481" max="8481" width="13" style="5" customWidth="1"/>
    <col min="8482" max="8487" width="11.7109375" style="5" customWidth="1"/>
    <col min="8488" max="8488" width="13.7109375" style="5" customWidth="1"/>
    <col min="8489" max="8489" width="13.140625" style="5" customWidth="1"/>
    <col min="8490" max="8493" width="13" style="5" customWidth="1"/>
    <col min="8494" max="8500" width="11.7109375" style="5" customWidth="1"/>
    <col min="8501" max="8501" width="10.85546875" style="5" customWidth="1"/>
    <col min="8502" max="8502" width="11.7109375" style="5" customWidth="1"/>
    <col min="8503" max="8505" width="22.7109375" style="5" customWidth="1"/>
    <col min="8506" max="8508" width="20.7109375" style="5" customWidth="1"/>
    <col min="8509" max="8696" width="8.85546875" style="5"/>
    <col min="8697" max="8697" width="6.140625" style="5" customWidth="1"/>
    <col min="8698" max="8698" width="20.28515625" style="5" customWidth="1"/>
    <col min="8699" max="8699" width="12.42578125" style="5" customWidth="1"/>
    <col min="8700" max="8700" width="13" style="5" customWidth="1"/>
    <col min="8701" max="8701" width="12.5703125" style="5" customWidth="1"/>
    <col min="8702" max="8715" width="11.7109375" style="5" customWidth="1"/>
    <col min="8716" max="8716" width="12.28515625" style="5" customWidth="1"/>
    <col min="8717" max="8717" width="11.7109375" style="5" customWidth="1"/>
    <col min="8718" max="8718" width="12.85546875" style="5" customWidth="1"/>
    <col min="8719" max="8719" width="11.7109375" style="5" customWidth="1"/>
    <col min="8720" max="8720" width="12.7109375" style="5" customWidth="1"/>
    <col min="8721" max="8721" width="11.7109375" style="5" customWidth="1"/>
    <col min="8722" max="8722" width="13" style="5" customWidth="1"/>
    <col min="8723" max="8734" width="11.7109375" style="5" customWidth="1"/>
    <col min="8735" max="8735" width="12.5703125" style="5" customWidth="1"/>
    <col min="8736" max="8736" width="11.7109375" style="5" customWidth="1"/>
    <col min="8737" max="8737" width="13" style="5" customWidth="1"/>
    <col min="8738" max="8743" width="11.7109375" style="5" customWidth="1"/>
    <col min="8744" max="8744" width="13.7109375" style="5" customWidth="1"/>
    <col min="8745" max="8745" width="13.140625" style="5" customWidth="1"/>
    <col min="8746" max="8749" width="13" style="5" customWidth="1"/>
    <col min="8750" max="8756" width="11.7109375" style="5" customWidth="1"/>
    <col min="8757" max="8757" width="10.85546875" style="5" customWidth="1"/>
    <col min="8758" max="8758" width="11.7109375" style="5" customWidth="1"/>
    <col min="8759" max="8761" width="22.7109375" style="5" customWidth="1"/>
    <col min="8762" max="8764" width="20.7109375" style="5" customWidth="1"/>
    <col min="8765" max="8952" width="8.85546875" style="5"/>
    <col min="8953" max="8953" width="6.140625" style="5" customWidth="1"/>
    <col min="8954" max="8954" width="20.28515625" style="5" customWidth="1"/>
    <col min="8955" max="8955" width="12.42578125" style="5" customWidth="1"/>
    <col min="8956" max="8956" width="13" style="5" customWidth="1"/>
    <col min="8957" max="8957" width="12.5703125" style="5" customWidth="1"/>
    <col min="8958" max="8971" width="11.7109375" style="5" customWidth="1"/>
    <col min="8972" max="8972" width="12.28515625" style="5" customWidth="1"/>
    <col min="8973" max="8973" width="11.7109375" style="5" customWidth="1"/>
    <col min="8974" max="8974" width="12.85546875" style="5" customWidth="1"/>
    <col min="8975" max="8975" width="11.7109375" style="5" customWidth="1"/>
    <col min="8976" max="8976" width="12.7109375" style="5" customWidth="1"/>
    <col min="8977" max="8977" width="11.7109375" style="5" customWidth="1"/>
    <col min="8978" max="8978" width="13" style="5" customWidth="1"/>
    <col min="8979" max="8990" width="11.7109375" style="5" customWidth="1"/>
    <col min="8991" max="8991" width="12.5703125" style="5" customWidth="1"/>
    <col min="8992" max="8992" width="11.7109375" style="5" customWidth="1"/>
    <col min="8993" max="8993" width="13" style="5" customWidth="1"/>
    <col min="8994" max="8999" width="11.7109375" style="5" customWidth="1"/>
    <col min="9000" max="9000" width="13.7109375" style="5" customWidth="1"/>
    <col min="9001" max="9001" width="13.140625" style="5" customWidth="1"/>
    <col min="9002" max="9005" width="13" style="5" customWidth="1"/>
    <col min="9006" max="9012" width="11.7109375" style="5" customWidth="1"/>
    <col min="9013" max="9013" width="10.85546875" style="5" customWidth="1"/>
    <col min="9014" max="9014" width="11.7109375" style="5" customWidth="1"/>
    <col min="9015" max="9017" width="22.7109375" style="5" customWidth="1"/>
    <col min="9018" max="9020" width="20.7109375" style="5" customWidth="1"/>
    <col min="9021" max="9208" width="8.85546875" style="5"/>
    <col min="9209" max="9209" width="6.140625" style="5" customWidth="1"/>
    <col min="9210" max="9210" width="20.28515625" style="5" customWidth="1"/>
    <col min="9211" max="9211" width="12.42578125" style="5" customWidth="1"/>
    <col min="9212" max="9212" width="13" style="5" customWidth="1"/>
    <col min="9213" max="9213" width="12.5703125" style="5" customWidth="1"/>
    <col min="9214" max="9227" width="11.7109375" style="5" customWidth="1"/>
    <col min="9228" max="9228" width="12.28515625" style="5" customWidth="1"/>
    <col min="9229" max="9229" width="11.7109375" style="5" customWidth="1"/>
    <col min="9230" max="9230" width="12.85546875" style="5" customWidth="1"/>
    <col min="9231" max="9231" width="11.7109375" style="5" customWidth="1"/>
    <col min="9232" max="9232" width="12.7109375" style="5" customWidth="1"/>
    <col min="9233" max="9233" width="11.7109375" style="5" customWidth="1"/>
    <col min="9234" max="9234" width="13" style="5" customWidth="1"/>
    <col min="9235" max="9246" width="11.7109375" style="5" customWidth="1"/>
    <col min="9247" max="9247" width="12.5703125" style="5" customWidth="1"/>
    <col min="9248" max="9248" width="11.7109375" style="5" customWidth="1"/>
    <col min="9249" max="9249" width="13" style="5" customWidth="1"/>
    <col min="9250" max="9255" width="11.7109375" style="5" customWidth="1"/>
    <col min="9256" max="9256" width="13.7109375" style="5" customWidth="1"/>
    <col min="9257" max="9257" width="13.140625" style="5" customWidth="1"/>
    <col min="9258" max="9261" width="13" style="5" customWidth="1"/>
    <col min="9262" max="9268" width="11.7109375" style="5" customWidth="1"/>
    <col min="9269" max="9269" width="10.85546875" style="5" customWidth="1"/>
    <col min="9270" max="9270" width="11.7109375" style="5" customWidth="1"/>
    <col min="9271" max="9273" width="22.7109375" style="5" customWidth="1"/>
    <col min="9274" max="9276" width="20.7109375" style="5" customWidth="1"/>
    <col min="9277" max="9464" width="8.85546875" style="5"/>
    <col min="9465" max="9465" width="6.140625" style="5" customWidth="1"/>
    <col min="9466" max="9466" width="20.28515625" style="5" customWidth="1"/>
    <col min="9467" max="9467" width="12.42578125" style="5" customWidth="1"/>
    <col min="9468" max="9468" width="13" style="5" customWidth="1"/>
    <col min="9469" max="9469" width="12.5703125" style="5" customWidth="1"/>
    <col min="9470" max="9483" width="11.7109375" style="5" customWidth="1"/>
    <col min="9484" max="9484" width="12.28515625" style="5" customWidth="1"/>
    <col min="9485" max="9485" width="11.7109375" style="5" customWidth="1"/>
    <col min="9486" max="9486" width="12.85546875" style="5" customWidth="1"/>
    <col min="9487" max="9487" width="11.7109375" style="5" customWidth="1"/>
    <col min="9488" max="9488" width="12.7109375" style="5" customWidth="1"/>
    <col min="9489" max="9489" width="11.7109375" style="5" customWidth="1"/>
    <col min="9490" max="9490" width="13" style="5" customWidth="1"/>
    <col min="9491" max="9502" width="11.7109375" style="5" customWidth="1"/>
    <col min="9503" max="9503" width="12.5703125" style="5" customWidth="1"/>
    <col min="9504" max="9504" width="11.7109375" style="5" customWidth="1"/>
    <col min="9505" max="9505" width="13" style="5" customWidth="1"/>
    <col min="9506" max="9511" width="11.7109375" style="5" customWidth="1"/>
    <col min="9512" max="9512" width="13.7109375" style="5" customWidth="1"/>
    <col min="9513" max="9513" width="13.140625" style="5" customWidth="1"/>
    <col min="9514" max="9517" width="13" style="5" customWidth="1"/>
    <col min="9518" max="9524" width="11.7109375" style="5" customWidth="1"/>
    <col min="9525" max="9525" width="10.85546875" style="5" customWidth="1"/>
    <col min="9526" max="9526" width="11.7109375" style="5" customWidth="1"/>
    <col min="9527" max="9529" width="22.7109375" style="5" customWidth="1"/>
    <col min="9530" max="9532" width="20.7109375" style="5" customWidth="1"/>
    <col min="9533" max="9720" width="8.85546875" style="5"/>
    <col min="9721" max="9721" width="6.140625" style="5" customWidth="1"/>
    <col min="9722" max="9722" width="20.28515625" style="5" customWidth="1"/>
    <col min="9723" max="9723" width="12.42578125" style="5" customWidth="1"/>
    <col min="9724" max="9724" width="13" style="5" customWidth="1"/>
    <col min="9725" max="9725" width="12.5703125" style="5" customWidth="1"/>
    <col min="9726" max="9739" width="11.7109375" style="5" customWidth="1"/>
    <col min="9740" max="9740" width="12.28515625" style="5" customWidth="1"/>
    <col min="9741" max="9741" width="11.7109375" style="5" customWidth="1"/>
    <col min="9742" max="9742" width="12.85546875" style="5" customWidth="1"/>
    <col min="9743" max="9743" width="11.7109375" style="5" customWidth="1"/>
    <col min="9744" max="9744" width="12.7109375" style="5" customWidth="1"/>
    <col min="9745" max="9745" width="11.7109375" style="5" customWidth="1"/>
    <col min="9746" max="9746" width="13" style="5" customWidth="1"/>
    <col min="9747" max="9758" width="11.7109375" style="5" customWidth="1"/>
    <col min="9759" max="9759" width="12.5703125" style="5" customWidth="1"/>
    <col min="9760" max="9760" width="11.7109375" style="5" customWidth="1"/>
    <col min="9761" max="9761" width="13" style="5" customWidth="1"/>
    <col min="9762" max="9767" width="11.7109375" style="5" customWidth="1"/>
    <col min="9768" max="9768" width="13.7109375" style="5" customWidth="1"/>
    <col min="9769" max="9769" width="13.140625" style="5" customWidth="1"/>
    <col min="9770" max="9773" width="13" style="5" customWidth="1"/>
    <col min="9774" max="9780" width="11.7109375" style="5" customWidth="1"/>
    <col min="9781" max="9781" width="10.85546875" style="5" customWidth="1"/>
    <col min="9782" max="9782" width="11.7109375" style="5" customWidth="1"/>
    <col min="9783" max="9785" width="22.7109375" style="5" customWidth="1"/>
    <col min="9786" max="9788" width="20.7109375" style="5" customWidth="1"/>
    <col min="9789" max="9976" width="8.85546875" style="5"/>
    <col min="9977" max="9977" width="6.140625" style="5" customWidth="1"/>
    <col min="9978" max="9978" width="20.28515625" style="5" customWidth="1"/>
    <col min="9979" max="9979" width="12.42578125" style="5" customWidth="1"/>
    <col min="9980" max="9980" width="13" style="5" customWidth="1"/>
    <col min="9981" max="9981" width="12.5703125" style="5" customWidth="1"/>
    <col min="9982" max="9995" width="11.7109375" style="5" customWidth="1"/>
    <col min="9996" max="9996" width="12.28515625" style="5" customWidth="1"/>
    <col min="9997" max="9997" width="11.7109375" style="5" customWidth="1"/>
    <col min="9998" max="9998" width="12.85546875" style="5" customWidth="1"/>
    <col min="9999" max="9999" width="11.7109375" style="5" customWidth="1"/>
    <col min="10000" max="10000" width="12.7109375" style="5" customWidth="1"/>
    <col min="10001" max="10001" width="11.7109375" style="5" customWidth="1"/>
    <col min="10002" max="10002" width="13" style="5" customWidth="1"/>
    <col min="10003" max="10014" width="11.7109375" style="5" customWidth="1"/>
    <col min="10015" max="10015" width="12.5703125" style="5" customWidth="1"/>
    <col min="10016" max="10016" width="11.7109375" style="5" customWidth="1"/>
    <col min="10017" max="10017" width="13" style="5" customWidth="1"/>
    <col min="10018" max="10023" width="11.7109375" style="5" customWidth="1"/>
    <col min="10024" max="10024" width="13.7109375" style="5" customWidth="1"/>
    <col min="10025" max="10025" width="13.140625" style="5" customWidth="1"/>
    <col min="10026" max="10029" width="13" style="5" customWidth="1"/>
    <col min="10030" max="10036" width="11.7109375" style="5" customWidth="1"/>
    <col min="10037" max="10037" width="10.85546875" style="5" customWidth="1"/>
    <col min="10038" max="10038" width="11.7109375" style="5" customWidth="1"/>
    <col min="10039" max="10041" width="22.7109375" style="5" customWidth="1"/>
    <col min="10042" max="10044" width="20.7109375" style="5" customWidth="1"/>
    <col min="10045" max="10232" width="8.85546875" style="5"/>
    <col min="10233" max="10233" width="6.140625" style="5" customWidth="1"/>
    <col min="10234" max="10234" width="20.28515625" style="5" customWidth="1"/>
    <col min="10235" max="10235" width="12.42578125" style="5" customWidth="1"/>
    <col min="10236" max="10236" width="13" style="5" customWidth="1"/>
    <col min="10237" max="10237" width="12.5703125" style="5" customWidth="1"/>
    <col min="10238" max="10251" width="11.7109375" style="5" customWidth="1"/>
    <col min="10252" max="10252" width="12.28515625" style="5" customWidth="1"/>
    <col min="10253" max="10253" width="11.7109375" style="5" customWidth="1"/>
    <col min="10254" max="10254" width="12.85546875" style="5" customWidth="1"/>
    <col min="10255" max="10255" width="11.7109375" style="5" customWidth="1"/>
    <col min="10256" max="10256" width="12.7109375" style="5" customWidth="1"/>
    <col min="10257" max="10257" width="11.7109375" style="5" customWidth="1"/>
    <col min="10258" max="10258" width="13" style="5" customWidth="1"/>
    <col min="10259" max="10270" width="11.7109375" style="5" customWidth="1"/>
    <col min="10271" max="10271" width="12.5703125" style="5" customWidth="1"/>
    <col min="10272" max="10272" width="11.7109375" style="5" customWidth="1"/>
    <col min="10273" max="10273" width="13" style="5" customWidth="1"/>
    <col min="10274" max="10279" width="11.7109375" style="5" customWidth="1"/>
    <col min="10280" max="10280" width="13.7109375" style="5" customWidth="1"/>
    <col min="10281" max="10281" width="13.140625" style="5" customWidth="1"/>
    <col min="10282" max="10285" width="13" style="5" customWidth="1"/>
    <col min="10286" max="10292" width="11.7109375" style="5" customWidth="1"/>
    <col min="10293" max="10293" width="10.85546875" style="5" customWidth="1"/>
    <col min="10294" max="10294" width="11.7109375" style="5" customWidth="1"/>
    <col min="10295" max="10297" width="22.7109375" style="5" customWidth="1"/>
    <col min="10298" max="10300" width="20.7109375" style="5" customWidth="1"/>
    <col min="10301" max="10488" width="8.85546875" style="5"/>
    <col min="10489" max="10489" width="6.140625" style="5" customWidth="1"/>
    <col min="10490" max="10490" width="20.28515625" style="5" customWidth="1"/>
    <col min="10491" max="10491" width="12.42578125" style="5" customWidth="1"/>
    <col min="10492" max="10492" width="13" style="5" customWidth="1"/>
    <col min="10493" max="10493" width="12.5703125" style="5" customWidth="1"/>
    <col min="10494" max="10507" width="11.7109375" style="5" customWidth="1"/>
    <col min="10508" max="10508" width="12.28515625" style="5" customWidth="1"/>
    <col min="10509" max="10509" width="11.7109375" style="5" customWidth="1"/>
    <col min="10510" max="10510" width="12.85546875" style="5" customWidth="1"/>
    <col min="10511" max="10511" width="11.7109375" style="5" customWidth="1"/>
    <col min="10512" max="10512" width="12.7109375" style="5" customWidth="1"/>
    <col min="10513" max="10513" width="11.7109375" style="5" customWidth="1"/>
    <col min="10514" max="10514" width="13" style="5" customWidth="1"/>
    <col min="10515" max="10526" width="11.7109375" style="5" customWidth="1"/>
    <col min="10527" max="10527" width="12.5703125" style="5" customWidth="1"/>
    <col min="10528" max="10528" width="11.7109375" style="5" customWidth="1"/>
    <col min="10529" max="10529" width="13" style="5" customWidth="1"/>
    <col min="10530" max="10535" width="11.7109375" style="5" customWidth="1"/>
    <col min="10536" max="10536" width="13.7109375" style="5" customWidth="1"/>
    <col min="10537" max="10537" width="13.140625" style="5" customWidth="1"/>
    <col min="10538" max="10541" width="13" style="5" customWidth="1"/>
    <col min="10542" max="10548" width="11.7109375" style="5" customWidth="1"/>
    <col min="10549" max="10549" width="10.85546875" style="5" customWidth="1"/>
    <col min="10550" max="10550" width="11.7109375" style="5" customWidth="1"/>
    <col min="10551" max="10553" width="22.7109375" style="5" customWidth="1"/>
    <col min="10554" max="10556" width="20.7109375" style="5" customWidth="1"/>
    <col min="10557" max="10744" width="8.85546875" style="5"/>
    <col min="10745" max="10745" width="6.140625" style="5" customWidth="1"/>
    <col min="10746" max="10746" width="20.28515625" style="5" customWidth="1"/>
    <col min="10747" max="10747" width="12.42578125" style="5" customWidth="1"/>
    <col min="10748" max="10748" width="13" style="5" customWidth="1"/>
    <col min="10749" max="10749" width="12.5703125" style="5" customWidth="1"/>
    <col min="10750" max="10763" width="11.7109375" style="5" customWidth="1"/>
    <col min="10764" max="10764" width="12.28515625" style="5" customWidth="1"/>
    <col min="10765" max="10765" width="11.7109375" style="5" customWidth="1"/>
    <col min="10766" max="10766" width="12.85546875" style="5" customWidth="1"/>
    <col min="10767" max="10767" width="11.7109375" style="5" customWidth="1"/>
    <col min="10768" max="10768" width="12.7109375" style="5" customWidth="1"/>
    <col min="10769" max="10769" width="11.7109375" style="5" customWidth="1"/>
    <col min="10770" max="10770" width="13" style="5" customWidth="1"/>
    <col min="10771" max="10782" width="11.7109375" style="5" customWidth="1"/>
    <col min="10783" max="10783" width="12.5703125" style="5" customWidth="1"/>
    <col min="10784" max="10784" width="11.7109375" style="5" customWidth="1"/>
    <col min="10785" max="10785" width="13" style="5" customWidth="1"/>
    <col min="10786" max="10791" width="11.7109375" style="5" customWidth="1"/>
    <col min="10792" max="10792" width="13.7109375" style="5" customWidth="1"/>
    <col min="10793" max="10793" width="13.140625" style="5" customWidth="1"/>
    <col min="10794" max="10797" width="13" style="5" customWidth="1"/>
    <col min="10798" max="10804" width="11.7109375" style="5" customWidth="1"/>
    <col min="10805" max="10805" width="10.85546875" style="5" customWidth="1"/>
    <col min="10806" max="10806" width="11.7109375" style="5" customWidth="1"/>
    <col min="10807" max="10809" width="22.7109375" style="5" customWidth="1"/>
    <col min="10810" max="10812" width="20.7109375" style="5" customWidth="1"/>
    <col min="10813" max="11000" width="8.85546875" style="5"/>
    <col min="11001" max="11001" width="6.140625" style="5" customWidth="1"/>
    <col min="11002" max="11002" width="20.28515625" style="5" customWidth="1"/>
    <col min="11003" max="11003" width="12.42578125" style="5" customWidth="1"/>
    <col min="11004" max="11004" width="13" style="5" customWidth="1"/>
    <col min="11005" max="11005" width="12.5703125" style="5" customWidth="1"/>
    <col min="11006" max="11019" width="11.7109375" style="5" customWidth="1"/>
    <col min="11020" max="11020" width="12.28515625" style="5" customWidth="1"/>
    <col min="11021" max="11021" width="11.7109375" style="5" customWidth="1"/>
    <col min="11022" max="11022" width="12.85546875" style="5" customWidth="1"/>
    <col min="11023" max="11023" width="11.7109375" style="5" customWidth="1"/>
    <col min="11024" max="11024" width="12.7109375" style="5" customWidth="1"/>
    <col min="11025" max="11025" width="11.7109375" style="5" customWidth="1"/>
    <col min="11026" max="11026" width="13" style="5" customWidth="1"/>
    <col min="11027" max="11038" width="11.7109375" style="5" customWidth="1"/>
    <col min="11039" max="11039" width="12.5703125" style="5" customWidth="1"/>
    <col min="11040" max="11040" width="11.7109375" style="5" customWidth="1"/>
    <col min="11041" max="11041" width="13" style="5" customWidth="1"/>
    <col min="11042" max="11047" width="11.7109375" style="5" customWidth="1"/>
    <col min="11048" max="11048" width="13.7109375" style="5" customWidth="1"/>
    <col min="11049" max="11049" width="13.140625" style="5" customWidth="1"/>
    <col min="11050" max="11053" width="13" style="5" customWidth="1"/>
    <col min="11054" max="11060" width="11.7109375" style="5" customWidth="1"/>
    <col min="11061" max="11061" width="10.85546875" style="5" customWidth="1"/>
    <col min="11062" max="11062" width="11.7109375" style="5" customWidth="1"/>
    <col min="11063" max="11065" width="22.7109375" style="5" customWidth="1"/>
    <col min="11066" max="11068" width="20.7109375" style="5" customWidth="1"/>
    <col min="11069" max="11256" width="8.85546875" style="5"/>
    <col min="11257" max="11257" width="6.140625" style="5" customWidth="1"/>
    <col min="11258" max="11258" width="20.28515625" style="5" customWidth="1"/>
    <col min="11259" max="11259" width="12.42578125" style="5" customWidth="1"/>
    <col min="11260" max="11260" width="13" style="5" customWidth="1"/>
    <col min="11261" max="11261" width="12.5703125" style="5" customWidth="1"/>
    <col min="11262" max="11275" width="11.7109375" style="5" customWidth="1"/>
    <col min="11276" max="11276" width="12.28515625" style="5" customWidth="1"/>
    <col min="11277" max="11277" width="11.7109375" style="5" customWidth="1"/>
    <col min="11278" max="11278" width="12.85546875" style="5" customWidth="1"/>
    <col min="11279" max="11279" width="11.7109375" style="5" customWidth="1"/>
    <col min="11280" max="11280" width="12.7109375" style="5" customWidth="1"/>
    <col min="11281" max="11281" width="11.7109375" style="5" customWidth="1"/>
    <col min="11282" max="11282" width="13" style="5" customWidth="1"/>
    <col min="11283" max="11294" width="11.7109375" style="5" customWidth="1"/>
    <col min="11295" max="11295" width="12.5703125" style="5" customWidth="1"/>
    <col min="11296" max="11296" width="11.7109375" style="5" customWidth="1"/>
    <col min="11297" max="11297" width="13" style="5" customWidth="1"/>
    <col min="11298" max="11303" width="11.7109375" style="5" customWidth="1"/>
    <col min="11304" max="11304" width="13.7109375" style="5" customWidth="1"/>
    <col min="11305" max="11305" width="13.140625" style="5" customWidth="1"/>
    <col min="11306" max="11309" width="13" style="5" customWidth="1"/>
    <col min="11310" max="11316" width="11.7109375" style="5" customWidth="1"/>
    <col min="11317" max="11317" width="10.85546875" style="5" customWidth="1"/>
    <col min="11318" max="11318" width="11.7109375" style="5" customWidth="1"/>
    <col min="11319" max="11321" width="22.7109375" style="5" customWidth="1"/>
    <col min="11322" max="11324" width="20.7109375" style="5" customWidth="1"/>
    <col min="11325" max="11512" width="8.85546875" style="5"/>
    <col min="11513" max="11513" width="6.140625" style="5" customWidth="1"/>
    <col min="11514" max="11514" width="20.28515625" style="5" customWidth="1"/>
    <col min="11515" max="11515" width="12.42578125" style="5" customWidth="1"/>
    <col min="11516" max="11516" width="13" style="5" customWidth="1"/>
    <col min="11517" max="11517" width="12.5703125" style="5" customWidth="1"/>
    <col min="11518" max="11531" width="11.7109375" style="5" customWidth="1"/>
    <col min="11532" max="11532" width="12.28515625" style="5" customWidth="1"/>
    <col min="11533" max="11533" width="11.7109375" style="5" customWidth="1"/>
    <col min="11534" max="11534" width="12.85546875" style="5" customWidth="1"/>
    <col min="11535" max="11535" width="11.7109375" style="5" customWidth="1"/>
    <col min="11536" max="11536" width="12.7109375" style="5" customWidth="1"/>
    <col min="11537" max="11537" width="11.7109375" style="5" customWidth="1"/>
    <col min="11538" max="11538" width="13" style="5" customWidth="1"/>
    <col min="11539" max="11550" width="11.7109375" style="5" customWidth="1"/>
    <col min="11551" max="11551" width="12.5703125" style="5" customWidth="1"/>
    <col min="11552" max="11552" width="11.7109375" style="5" customWidth="1"/>
    <col min="11553" max="11553" width="13" style="5" customWidth="1"/>
    <col min="11554" max="11559" width="11.7109375" style="5" customWidth="1"/>
    <col min="11560" max="11560" width="13.7109375" style="5" customWidth="1"/>
    <col min="11561" max="11561" width="13.140625" style="5" customWidth="1"/>
    <col min="11562" max="11565" width="13" style="5" customWidth="1"/>
    <col min="11566" max="11572" width="11.7109375" style="5" customWidth="1"/>
    <col min="11573" max="11573" width="10.85546875" style="5" customWidth="1"/>
    <col min="11574" max="11574" width="11.7109375" style="5" customWidth="1"/>
    <col min="11575" max="11577" width="22.7109375" style="5" customWidth="1"/>
    <col min="11578" max="11580" width="20.7109375" style="5" customWidth="1"/>
    <col min="11581" max="11768" width="8.85546875" style="5"/>
    <col min="11769" max="11769" width="6.140625" style="5" customWidth="1"/>
    <col min="11770" max="11770" width="20.28515625" style="5" customWidth="1"/>
    <col min="11771" max="11771" width="12.42578125" style="5" customWidth="1"/>
    <col min="11772" max="11772" width="13" style="5" customWidth="1"/>
    <col min="11773" max="11773" width="12.5703125" style="5" customWidth="1"/>
    <col min="11774" max="11787" width="11.7109375" style="5" customWidth="1"/>
    <col min="11788" max="11788" width="12.28515625" style="5" customWidth="1"/>
    <col min="11789" max="11789" width="11.7109375" style="5" customWidth="1"/>
    <col min="11790" max="11790" width="12.85546875" style="5" customWidth="1"/>
    <col min="11791" max="11791" width="11.7109375" style="5" customWidth="1"/>
    <col min="11792" max="11792" width="12.7109375" style="5" customWidth="1"/>
    <col min="11793" max="11793" width="11.7109375" style="5" customWidth="1"/>
    <col min="11794" max="11794" width="13" style="5" customWidth="1"/>
    <col min="11795" max="11806" width="11.7109375" style="5" customWidth="1"/>
    <col min="11807" max="11807" width="12.5703125" style="5" customWidth="1"/>
    <col min="11808" max="11808" width="11.7109375" style="5" customWidth="1"/>
    <col min="11809" max="11809" width="13" style="5" customWidth="1"/>
    <col min="11810" max="11815" width="11.7109375" style="5" customWidth="1"/>
    <col min="11816" max="11816" width="13.7109375" style="5" customWidth="1"/>
    <col min="11817" max="11817" width="13.140625" style="5" customWidth="1"/>
    <col min="11818" max="11821" width="13" style="5" customWidth="1"/>
    <col min="11822" max="11828" width="11.7109375" style="5" customWidth="1"/>
    <col min="11829" max="11829" width="10.85546875" style="5" customWidth="1"/>
    <col min="11830" max="11830" width="11.7109375" style="5" customWidth="1"/>
    <col min="11831" max="11833" width="22.7109375" style="5" customWidth="1"/>
    <col min="11834" max="11836" width="20.7109375" style="5" customWidth="1"/>
    <col min="11837" max="12024" width="8.85546875" style="5"/>
    <col min="12025" max="12025" width="6.140625" style="5" customWidth="1"/>
    <col min="12026" max="12026" width="20.28515625" style="5" customWidth="1"/>
    <col min="12027" max="12027" width="12.42578125" style="5" customWidth="1"/>
    <col min="12028" max="12028" width="13" style="5" customWidth="1"/>
    <col min="12029" max="12029" width="12.5703125" style="5" customWidth="1"/>
    <col min="12030" max="12043" width="11.7109375" style="5" customWidth="1"/>
    <col min="12044" max="12044" width="12.28515625" style="5" customWidth="1"/>
    <col min="12045" max="12045" width="11.7109375" style="5" customWidth="1"/>
    <col min="12046" max="12046" width="12.85546875" style="5" customWidth="1"/>
    <col min="12047" max="12047" width="11.7109375" style="5" customWidth="1"/>
    <col min="12048" max="12048" width="12.7109375" style="5" customWidth="1"/>
    <col min="12049" max="12049" width="11.7109375" style="5" customWidth="1"/>
    <col min="12050" max="12050" width="13" style="5" customWidth="1"/>
    <col min="12051" max="12062" width="11.7109375" style="5" customWidth="1"/>
    <col min="12063" max="12063" width="12.5703125" style="5" customWidth="1"/>
    <col min="12064" max="12064" width="11.7109375" style="5" customWidth="1"/>
    <col min="12065" max="12065" width="13" style="5" customWidth="1"/>
    <col min="12066" max="12071" width="11.7109375" style="5" customWidth="1"/>
    <col min="12072" max="12072" width="13.7109375" style="5" customWidth="1"/>
    <col min="12073" max="12073" width="13.140625" style="5" customWidth="1"/>
    <col min="12074" max="12077" width="13" style="5" customWidth="1"/>
    <col min="12078" max="12084" width="11.7109375" style="5" customWidth="1"/>
    <col min="12085" max="12085" width="10.85546875" style="5" customWidth="1"/>
    <col min="12086" max="12086" width="11.7109375" style="5" customWidth="1"/>
    <col min="12087" max="12089" width="22.7109375" style="5" customWidth="1"/>
    <col min="12090" max="12092" width="20.7109375" style="5" customWidth="1"/>
    <col min="12093" max="12280" width="8.85546875" style="5"/>
    <col min="12281" max="12281" width="6.140625" style="5" customWidth="1"/>
    <col min="12282" max="12282" width="20.28515625" style="5" customWidth="1"/>
    <col min="12283" max="12283" width="12.42578125" style="5" customWidth="1"/>
    <col min="12284" max="12284" width="13" style="5" customWidth="1"/>
    <col min="12285" max="12285" width="12.5703125" style="5" customWidth="1"/>
    <col min="12286" max="12299" width="11.7109375" style="5" customWidth="1"/>
    <col min="12300" max="12300" width="12.28515625" style="5" customWidth="1"/>
    <col min="12301" max="12301" width="11.7109375" style="5" customWidth="1"/>
    <col min="12302" max="12302" width="12.85546875" style="5" customWidth="1"/>
    <col min="12303" max="12303" width="11.7109375" style="5" customWidth="1"/>
    <col min="12304" max="12304" width="12.7109375" style="5" customWidth="1"/>
    <col min="12305" max="12305" width="11.7109375" style="5" customWidth="1"/>
    <col min="12306" max="12306" width="13" style="5" customWidth="1"/>
    <col min="12307" max="12318" width="11.7109375" style="5" customWidth="1"/>
    <col min="12319" max="12319" width="12.5703125" style="5" customWidth="1"/>
    <col min="12320" max="12320" width="11.7109375" style="5" customWidth="1"/>
    <col min="12321" max="12321" width="13" style="5" customWidth="1"/>
    <col min="12322" max="12327" width="11.7109375" style="5" customWidth="1"/>
    <col min="12328" max="12328" width="13.7109375" style="5" customWidth="1"/>
    <col min="12329" max="12329" width="13.140625" style="5" customWidth="1"/>
    <col min="12330" max="12333" width="13" style="5" customWidth="1"/>
    <col min="12334" max="12340" width="11.7109375" style="5" customWidth="1"/>
    <col min="12341" max="12341" width="10.85546875" style="5" customWidth="1"/>
    <col min="12342" max="12342" width="11.7109375" style="5" customWidth="1"/>
    <col min="12343" max="12345" width="22.7109375" style="5" customWidth="1"/>
    <col min="12346" max="12348" width="20.7109375" style="5" customWidth="1"/>
    <col min="12349" max="12536" width="8.85546875" style="5"/>
    <col min="12537" max="12537" width="6.140625" style="5" customWidth="1"/>
    <col min="12538" max="12538" width="20.28515625" style="5" customWidth="1"/>
    <col min="12539" max="12539" width="12.42578125" style="5" customWidth="1"/>
    <col min="12540" max="12540" width="13" style="5" customWidth="1"/>
    <col min="12541" max="12541" width="12.5703125" style="5" customWidth="1"/>
    <col min="12542" max="12555" width="11.7109375" style="5" customWidth="1"/>
    <col min="12556" max="12556" width="12.28515625" style="5" customWidth="1"/>
    <col min="12557" max="12557" width="11.7109375" style="5" customWidth="1"/>
    <col min="12558" max="12558" width="12.85546875" style="5" customWidth="1"/>
    <col min="12559" max="12559" width="11.7109375" style="5" customWidth="1"/>
    <col min="12560" max="12560" width="12.7109375" style="5" customWidth="1"/>
    <col min="12561" max="12561" width="11.7109375" style="5" customWidth="1"/>
    <col min="12562" max="12562" width="13" style="5" customWidth="1"/>
    <col min="12563" max="12574" width="11.7109375" style="5" customWidth="1"/>
    <col min="12575" max="12575" width="12.5703125" style="5" customWidth="1"/>
    <col min="12576" max="12576" width="11.7109375" style="5" customWidth="1"/>
    <col min="12577" max="12577" width="13" style="5" customWidth="1"/>
    <col min="12578" max="12583" width="11.7109375" style="5" customWidth="1"/>
    <col min="12584" max="12584" width="13.7109375" style="5" customWidth="1"/>
    <col min="12585" max="12585" width="13.140625" style="5" customWidth="1"/>
    <col min="12586" max="12589" width="13" style="5" customWidth="1"/>
    <col min="12590" max="12596" width="11.7109375" style="5" customWidth="1"/>
    <col min="12597" max="12597" width="10.85546875" style="5" customWidth="1"/>
    <col min="12598" max="12598" width="11.7109375" style="5" customWidth="1"/>
    <col min="12599" max="12601" width="22.7109375" style="5" customWidth="1"/>
    <col min="12602" max="12604" width="20.7109375" style="5" customWidth="1"/>
    <col min="12605" max="12792" width="8.85546875" style="5"/>
    <col min="12793" max="12793" width="6.140625" style="5" customWidth="1"/>
    <col min="12794" max="12794" width="20.28515625" style="5" customWidth="1"/>
    <col min="12795" max="12795" width="12.42578125" style="5" customWidth="1"/>
    <col min="12796" max="12796" width="13" style="5" customWidth="1"/>
    <col min="12797" max="12797" width="12.5703125" style="5" customWidth="1"/>
    <col min="12798" max="12811" width="11.7109375" style="5" customWidth="1"/>
    <col min="12812" max="12812" width="12.28515625" style="5" customWidth="1"/>
    <col min="12813" max="12813" width="11.7109375" style="5" customWidth="1"/>
    <col min="12814" max="12814" width="12.85546875" style="5" customWidth="1"/>
    <col min="12815" max="12815" width="11.7109375" style="5" customWidth="1"/>
    <col min="12816" max="12816" width="12.7109375" style="5" customWidth="1"/>
    <col min="12817" max="12817" width="11.7109375" style="5" customWidth="1"/>
    <col min="12818" max="12818" width="13" style="5" customWidth="1"/>
    <col min="12819" max="12830" width="11.7109375" style="5" customWidth="1"/>
    <col min="12831" max="12831" width="12.5703125" style="5" customWidth="1"/>
    <col min="12832" max="12832" width="11.7109375" style="5" customWidth="1"/>
    <col min="12833" max="12833" width="13" style="5" customWidth="1"/>
    <col min="12834" max="12839" width="11.7109375" style="5" customWidth="1"/>
    <col min="12840" max="12840" width="13.7109375" style="5" customWidth="1"/>
    <col min="12841" max="12841" width="13.140625" style="5" customWidth="1"/>
    <col min="12842" max="12845" width="13" style="5" customWidth="1"/>
    <col min="12846" max="12852" width="11.7109375" style="5" customWidth="1"/>
    <col min="12853" max="12853" width="10.85546875" style="5" customWidth="1"/>
    <col min="12854" max="12854" width="11.7109375" style="5" customWidth="1"/>
    <col min="12855" max="12857" width="22.7109375" style="5" customWidth="1"/>
    <col min="12858" max="12860" width="20.7109375" style="5" customWidth="1"/>
    <col min="12861" max="13048" width="8.85546875" style="5"/>
    <col min="13049" max="13049" width="6.140625" style="5" customWidth="1"/>
    <col min="13050" max="13050" width="20.28515625" style="5" customWidth="1"/>
    <col min="13051" max="13051" width="12.42578125" style="5" customWidth="1"/>
    <col min="13052" max="13052" width="13" style="5" customWidth="1"/>
    <col min="13053" max="13053" width="12.5703125" style="5" customWidth="1"/>
    <col min="13054" max="13067" width="11.7109375" style="5" customWidth="1"/>
    <col min="13068" max="13068" width="12.28515625" style="5" customWidth="1"/>
    <col min="13069" max="13069" width="11.7109375" style="5" customWidth="1"/>
    <col min="13070" max="13070" width="12.85546875" style="5" customWidth="1"/>
    <col min="13071" max="13071" width="11.7109375" style="5" customWidth="1"/>
    <col min="13072" max="13072" width="12.7109375" style="5" customWidth="1"/>
    <col min="13073" max="13073" width="11.7109375" style="5" customWidth="1"/>
    <col min="13074" max="13074" width="13" style="5" customWidth="1"/>
    <col min="13075" max="13086" width="11.7109375" style="5" customWidth="1"/>
    <col min="13087" max="13087" width="12.5703125" style="5" customWidth="1"/>
    <col min="13088" max="13088" width="11.7109375" style="5" customWidth="1"/>
    <col min="13089" max="13089" width="13" style="5" customWidth="1"/>
    <col min="13090" max="13095" width="11.7109375" style="5" customWidth="1"/>
    <col min="13096" max="13096" width="13.7109375" style="5" customWidth="1"/>
    <col min="13097" max="13097" width="13.140625" style="5" customWidth="1"/>
    <col min="13098" max="13101" width="13" style="5" customWidth="1"/>
    <col min="13102" max="13108" width="11.7109375" style="5" customWidth="1"/>
    <col min="13109" max="13109" width="10.85546875" style="5" customWidth="1"/>
    <col min="13110" max="13110" width="11.7109375" style="5" customWidth="1"/>
    <col min="13111" max="13113" width="22.7109375" style="5" customWidth="1"/>
    <col min="13114" max="13116" width="20.7109375" style="5" customWidth="1"/>
    <col min="13117" max="13304" width="8.85546875" style="5"/>
    <col min="13305" max="13305" width="6.140625" style="5" customWidth="1"/>
    <col min="13306" max="13306" width="20.28515625" style="5" customWidth="1"/>
    <col min="13307" max="13307" width="12.42578125" style="5" customWidth="1"/>
    <col min="13308" max="13308" width="13" style="5" customWidth="1"/>
    <col min="13309" max="13309" width="12.5703125" style="5" customWidth="1"/>
    <col min="13310" max="13323" width="11.7109375" style="5" customWidth="1"/>
    <col min="13324" max="13324" width="12.28515625" style="5" customWidth="1"/>
    <col min="13325" max="13325" width="11.7109375" style="5" customWidth="1"/>
    <col min="13326" max="13326" width="12.85546875" style="5" customWidth="1"/>
    <col min="13327" max="13327" width="11.7109375" style="5" customWidth="1"/>
    <col min="13328" max="13328" width="12.7109375" style="5" customWidth="1"/>
    <col min="13329" max="13329" width="11.7109375" style="5" customWidth="1"/>
    <col min="13330" max="13330" width="13" style="5" customWidth="1"/>
    <col min="13331" max="13342" width="11.7109375" style="5" customWidth="1"/>
    <col min="13343" max="13343" width="12.5703125" style="5" customWidth="1"/>
    <col min="13344" max="13344" width="11.7109375" style="5" customWidth="1"/>
    <col min="13345" max="13345" width="13" style="5" customWidth="1"/>
    <col min="13346" max="13351" width="11.7109375" style="5" customWidth="1"/>
    <col min="13352" max="13352" width="13.7109375" style="5" customWidth="1"/>
    <col min="13353" max="13353" width="13.140625" style="5" customWidth="1"/>
    <col min="13354" max="13357" width="13" style="5" customWidth="1"/>
    <col min="13358" max="13364" width="11.7109375" style="5" customWidth="1"/>
    <col min="13365" max="13365" width="10.85546875" style="5" customWidth="1"/>
    <col min="13366" max="13366" width="11.7109375" style="5" customWidth="1"/>
    <col min="13367" max="13369" width="22.7109375" style="5" customWidth="1"/>
    <col min="13370" max="13372" width="20.7109375" style="5" customWidth="1"/>
    <col min="13373" max="13560" width="8.85546875" style="5"/>
    <col min="13561" max="13561" width="6.140625" style="5" customWidth="1"/>
    <col min="13562" max="13562" width="20.28515625" style="5" customWidth="1"/>
    <col min="13563" max="13563" width="12.42578125" style="5" customWidth="1"/>
    <col min="13564" max="13564" width="13" style="5" customWidth="1"/>
    <col min="13565" max="13565" width="12.5703125" style="5" customWidth="1"/>
    <col min="13566" max="13579" width="11.7109375" style="5" customWidth="1"/>
    <col min="13580" max="13580" width="12.28515625" style="5" customWidth="1"/>
    <col min="13581" max="13581" width="11.7109375" style="5" customWidth="1"/>
    <col min="13582" max="13582" width="12.85546875" style="5" customWidth="1"/>
    <col min="13583" max="13583" width="11.7109375" style="5" customWidth="1"/>
    <col min="13584" max="13584" width="12.7109375" style="5" customWidth="1"/>
    <col min="13585" max="13585" width="11.7109375" style="5" customWidth="1"/>
    <col min="13586" max="13586" width="13" style="5" customWidth="1"/>
    <col min="13587" max="13598" width="11.7109375" style="5" customWidth="1"/>
    <col min="13599" max="13599" width="12.5703125" style="5" customWidth="1"/>
    <col min="13600" max="13600" width="11.7109375" style="5" customWidth="1"/>
    <col min="13601" max="13601" width="13" style="5" customWidth="1"/>
    <col min="13602" max="13607" width="11.7109375" style="5" customWidth="1"/>
    <col min="13608" max="13608" width="13.7109375" style="5" customWidth="1"/>
    <col min="13609" max="13609" width="13.140625" style="5" customWidth="1"/>
    <col min="13610" max="13613" width="13" style="5" customWidth="1"/>
    <col min="13614" max="13620" width="11.7109375" style="5" customWidth="1"/>
    <col min="13621" max="13621" width="10.85546875" style="5" customWidth="1"/>
    <col min="13622" max="13622" width="11.7109375" style="5" customWidth="1"/>
    <col min="13623" max="13625" width="22.7109375" style="5" customWidth="1"/>
    <col min="13626" max="13628" width="20.7109375" style="5" customWidth="1"/>
    <col min="13629" max="13816" width="8.85546875" style="5"/>
    <col min="13817" max="13817" width="6.140625" style="5" customWidth="1"/>
    <col min="13818" max="13818" width="20.28515625" style="5" customWidth="1"/>
    <col min="13819" max="13819" width="12.42578125" style="5" customWidth="1"/>
    <col min="13820" max="13820" width="13" style="5" customWidth="1"/>
    <col min="13821" max="13821" width="12.5703125" style="5" customWidth="1"/>
    <col min="13822" max="13835" width="11.7109375" style="5" customWidth="1"/>
    <col min="13836" max="13836" width="12.28515625" style="5" customWidth="1"/>
    <col min="13837" max="13837" width="11.7109375" style="5" customWidth="1"/>
    <col min="13838" max="13838" width="12.85546875" style="5" customWidth="1"/>
    <col min="13839" max="13839" width="11.7109375" style="5" customWidth="1"/>
    <col min="13840" max="13840" width="12.7109375" style="5" customWidth="1"/>
    <col min="13841" max="13841" width="11.7109375" style="5" customWidth="1"/>
    <col min="13842" max="13842" width="13" style="5" customWidth="1"/>
    <col min="13843" max="13854" width="11.7109375" style="5" customWidth="1"/>
    <col min="13855" max="13855" width="12.5703125" style="5" customWidth="1"/>
    <col min="13856" max="13856" width="11.7109375" style="5" customWidth="1"/>
    <col min="13857" max="13857" width="13" style="5" customWidth="1"/>
    <col min="13858" max="13863" width="11.7109375" style="5" customWidth="1"/>
    <col min="13864" max="13864" width="13.7109375" style="5" customWidth="1"/>
    <col min="13865" max="13865" width="13.140625" style="5" customWidth="1"/>
    <col min="13866" max="13869" width="13" style="5" customWidth="1"/>
    <col min="13870" max="13876" width="11.7109375" style="5" customWidth="1"/>
    <col min="13877" max="13877" width="10.85546875" style="5" customWidth="1"/>
    <col min="13878" max="13878" width="11.7109375" style="5" customWidth="1"/>
    <col min="13879" max="13881" width="22.7109375" style="5" customWidth="1"/>
    <col min="13882" max="13884" width="20.7109375" style="5" customWidth="1"/>
    <col min="13885" max="14072" width="8.85546875" style="5"/>
    <col min="14073" max="14073" width="6.140625" style="5" customWidth="1"/>
    <col min="14074" max="14074" width="20.28515625" style="5" customWidth="1"/>
    <col min="14075" max="14075" width="12.42578125" style="5" customWidth="1"/>
    <col min="14076" max="14076" width="13" style="5" customWidth="1"/>
    <col min="14077" max="14077" width="12.5703125" style="5" customWidth="1"/>
    <col min="14078" max="14091" width="11.7109375" style="5" customWidth="1"/>
    <col min="14092" max="14092" width="12.28515625" style="5" customWidth="1"/>
    <col min="14093" max="14093" width="11.7109375" style="5" customWidth="1"/>
    <col min="14094" max="14094" width="12.85546875" style="5" customWidth="1"/>
    <col min="14095" max="14095" width="11.7109375" style="5" customWidth="1"/>
    <col min="14096" max="14096" width="12.7109375" style="5" customWidth="1"/>
    <col min="14097" max="14097" width="11.7109375" style="5" customWidth="1"/>
    <col min="14098" max="14098" width="13" style="5" customWidth="1"/>
    <col min="14099" max="14110" width="11.7109375" style="5" customWidth="1"/>
    <col min="14111" max="14111" width="12.5703125" style="5" customWidth="1"/>
    <col min="14112" max="14112" width="11.7109375" style="5" customWidth="1"/>
    <col min="14113" max="14113" width="13" style="5" customWidth="1"/>
    <col min="14114" max="14119" width="11.7109375" style="5" customWidth="1"/>
    <col min="14120" max="14120" width="13.7109375" style="5" customWidth="1"/>
    <col min="14121" max="14121" width="13.140625" style="5" customWidth="1"/>
    <col min="14122" max="14125" width="13" style="5" customWidth="1"/>
    <col min="14126" max="14132" width="11.7109375" style="5" customWidth="1"/>
    <col min="14133" max="14133" width="10.85546875" style="5" customWidth="1"/>
    <col min="14134" max="14134" width="11.7109375" style="5" customWidth="1"/>
    <col min="14135" max="14137" width="22.7109375" style="5" customWidth="1"/>
    <col min="14138" max="14140" width="20.7109375" style="5" customWidth="1"/>
    <col min="14141" max="14328" width="8.85546875" style="5"/>
    <col min="14329" max="14329" width="6.140625" style="5" customWidth="1"/>
    <col min="14330" max="14330" width="20.28515625" style="5" customWidth="1"/>
    <col min="14331" max="14331" width="12.42578125" style="5" customWidth="1"/>
    <col min="14332" max="14332" width="13" style="5" customWidth="1"/>
    <col min="14333" max="14333" width="12.5703125" style="5" customWidth="1"/>
    <col min="14334" max="14347" width="11.7109375" style="5" customWidth="1"/>
    <col min="14348" max="14348" width="12.28515625" style="5" customWidth="1"/>
    <col min="14349" max="14349" width="11.7109375" style="5" customWidth="1"/>
    <col min="14350" max="14350" width="12.85546875" style="5" customWidth="1"/>
    <col min="14351" max="14351" width="11.7109375" style="5" customWidth="1"/>
    <col min="14352" max="14352" width="12.7109375" style="5" customWidth="1"/>
    <col min="14353" max="14353" width="11.7109375" style="5" customWidth="1"/>
    <col min="14354" max="14354" width="13" style="5" customWidth="1"/>
    <col min="14355" max="14366" width="11.7109375" style="5" customWidth="1"/>
    <col min="14367" max="14367" width="12.5703125" style="5" customWidth="1"/>
    <col min="14368" max="14368" width="11.7109375" style="5" customWidth="1"/>
    <col min="14369" max="14369" width="13" style="5" customWidth="1"/>
    <col min="14370" max="14375" width="11.7109375" style="5" customWidth="1"/>
    <col min="14376" max="14376" width="13.7109375" style="5" customWidth="1"/>
    <col min="14377" max="14377" width="13.140625" style="5" customWidth="1"/>
    <col min="14378" max="14381" width="13" style="5" customWidth="1"/>
    <col min="14382" max="14388" width="11.7109375" style="5" customWidth="1"/>
    <col min="14389" max="14389" width="10.85546875" style="5" customWidth="1"/>
    <col min="14390" max="14390" width="11.7109375" style="5" customWidth="1"/>
    <col min="14391" max="14393" width="22.7109375" style="5" customWidth="1"/>
    <col min="14394" max="14396" width="20.7109375" style="5" customWidth="1"/>
    <col min="14397" max="14584" width="8.85546875" style="5"/>
    <col min="14585" max="14585" width="6.140625" style="5" customWidth="1"/>
    <col min="14586" max="14586" width="20.28515625" style="5" customWidth="1"/>
    <col min="14587" max="14587" width="12.42578125" style="5" customWidth="1"/>
    <col min="14588" max="14588" width="13" style="5" customWidth="1"/>
    <col min="14589" max="14589" width="12.5703125" style="5" customWidth="1"/>
    <col min="14590" max="14603" width="11.7109375" style="5" customWidth="1"/>
    <col min="14604" max="14604" width="12.28515625" style="5" customWidth="1"/>
    <col min="14605" max="14605" width="11.7109375" style="5" customWidth="1"/>
    <col min="14606" max="14606" width="12.85546875" style="5" customWidth="1"/>
    <col min="14607" max="14607" width="11.7109375" style="5" customWidth="1"/>
    <col min="14608" max="14608" width="12.7109375" style="5" customWidth="1"/>
    <col min="14609" max="14609" width="11.7109375" style="5" customWidth="1"/>
    <col min="14610" max="14610" width="13" style="5" customWidth="1"/>
    <col min="14611" max="14622" width="11.7109375" style="5" customWidth="1"/>
    <col min="14623" max="14623" width="12.5703125" style="5" customWidth="1"/>
    <col min="14624" max="14624" width="11.7109375" style="5" customWidth="1"/>
    <col min="14625" max="14625" width="13" style="5" customWidth="1"/>
    <col min="14626" max="14631" width="11.7109375" style="5" customWidth="1"/>
    <col min="14632" max="14632" width="13.7109375" style="5" customWidth="1"/>
    <col min="14633" max="14633" width="13.140625" style="5" customWidth="1"/>
    <col min="14634" max="14637" width="13" style="5" customWidth="1"/>
    <col min="14638" max="14644" width="11.7109375" style="5" customWidth="1"/>
    <col min="14645" max="14645" width="10.85546875" style="5" customWidth="1"/>
    <col min="14646" max="14646" width="11.7109375" style="5" customWidth="1"/>
    <col min="14647" max="14649" width="22.7109375" style="5" customWidth="1"/>
    <col min="14650" max="14652" width="20.7109375" style="5" customWidth="1"/>
    <col min="14653" max="14840" width="8.85546875" style="5"/>
    <col min="14841" max="14841" width="6.140625" style="5" customWidth="1"/>
    <col min="14842" max="14842" width="20.28515625" style="5" customWidth="1"/>
    <col min="14843" max="14843" width="12.42578125" style="5" customWidth="1"/>
    <col min="14844" max="14844" width="13" style="5" customWidth="1"/>
    <col min="14845" max="14845" width="12.5703125" style="5" customWidth="1"/>
    <col min="14846" max="14859" width="11.7109375" style="5" customWidth="1"/>
    <col min="14860" max="14860" width="12.28515625" style="5" customWidth="1"/>
    <col min="14861" max="14861" width="11.7109375" style="5" customWidth="1"/>
    <col min="14862" max="14862" width="12.85546875" style="5" customWidth="1"/>
    <col min="14863" max="14863" width="11.7109375" style="5" customWidth="1"/>
    <col min="14864" max="14864" width="12.7109375" style="5" customWidth="1"/>
    <col min="14865" max="14865" width="11.7109375" style="5" customWidth="1"/>
    <col min="14866" max="14866" width="13" style="5" customWidth="1"/>
    <col min="14867" max="14878" width="11.7109375" style="5" customWidth="1"/>
    <col min="14879" max="14879" width="12.5703125" style="5" customWidth="1"/>
    <col min="14880" max="14880" width="11.7109375" style="5" customWidth="1"/>
    <col min="14881" max="14881" width="13" style="5" customWidth="1"/>
    <col min="14882" max="14887" width="11.7109375" style="5" customWidth="1"/>
    <col min="14888" max="14888" width="13.7109375" style="5" customWidth="1"/>
    <col min="14889" max="14889" width="13.140625" style="5" customWidth="1"/>
    <col min="14890" max="14893" width="13" style="5" customWidth="1"/>
    <col min="14894" max="14900" width="11.7109375" style="5" customWidth="1"/>
    <col min="14901" max="14901" width="10.85546875" style="5" customWidth="1"/>
    <col min="14902" max="14902" width="11.7109375" style="5" customWidth="1"/>
    <col min="14903" max="14905" width="22.7109375" style="5" customWidth="1"/>
    <col min="14906" max="14908" width="20.7109375" style="5" customWidth="1"/>
    <col min="14909" max="15096" width="8.85546875" style="5"/>
    <col min="15097" max="15097" width="6.140625" style="5" customWidth="1"/>
    <col min="15098" max="15098" width="20.28515625" style="5" customWidth="1"/>
    <col min="15099" max="15099" width="12.42578125" style="5" customWidth="1"/>
    <col min="15100" max="15100" width="13" style="5" customWidth="1"/>
    <col min="15101" max="15101" width="12.5703125" style="5" customWidth="1"/>
    <col min="15102" max="15115" width="11.7109375" style="5" customWidth="1"/>
    <col min="15116" max="15116" width="12.28515625" style="5" customWidth="1"/>
    <col min="15117" max="15117" width="11.7109375" style="5" customWidth="1"/>
    <col min="15118" max="15118" width="12.85546875" style="5" customWidth="1"/>
    <col min="15119" max="15119" width="11.7109375" style="5" customWidth="1"/>
    <col min="15120" max="15120" width="12.7109375" style="5" customWidth="1"/>
    <col min="15121" max="15121" width="11.7109375" style="5" customWidth="1"/>
    <col min="15122" max="15122" width="13" style="5" customWidth="1"/>
    <col min="15123" max="15134" width="11.7109375" style="5" customWidth="1"/>
    <col min="15135" max="15135" width="12.5703125" style="5" customWidth="1"/>
    <col min="15136" max="15136" width="11.7109375" style="5" customWidth="1"/>
    <col min="15137" max="15137" width="13" style="5" customWidth="1"/>
    <col min="15138" max="15143" width="11.7109375" style="5" customWidth="1"/>
    <col min="15144" max="15144" width="13.7109375" style="5" customWidth="1"/>
    <col min="15145" max="15145" width="13.140625" style="5" customWidth="1"/>
    <col min="15146" max="15149" width="13" style="5" customWidth="1"/>
    <col min="15150" max="15156" width="11.7109375" style="5" customWidth="1"/>
    <col min="15157" max="15157" width="10.85546875" style="5" customWidth="1"/>
    <col min="15158" max="15158" width="11.7109375" style="5" customWidth="1"/>
    <col min="15159" max="15161" width="22.7109375" style="5" customWidth="1"/>
    <col min="15162" max="15164" width="20.7109375" style="5" customWidth="1"/>
    <col min="15165" max="15352" width="8.85546875" style="5"/>
    <col min="15353" max="15353" width="6.140625" style="5" customWidth="1"/>
    <col min="15354" max="15354" width="20.28515625" style="5" customWidth="1"/>
    <col min="15355" max="15355" width="12.42578125" style="5" customWidth="1"/>
    <col min="15356" max="15356" width="13" style="5" customWidth="1"/>
    <col min="15357" max="15357" width="12.5703125" style="5" customWidth="1"/>
    <col min="15358" max="15371" width="11.7109375" style="5" customWidth="1"/>
    <col min="15372" max="15372" width="12.28515625" style="5" customWidth="1"/>
    <col min="15373" max="15373" width="11.7109375" style="5" customWidth="1"/>
    <col min="15374" max="15374" width="12.85546875" style="5" customWidth="1"/>
    <col min="15375" max="15375" width="11.7109375" style="5" customWidth="1"/>
    <col min="15376" max="15376" width="12.7109375" style="5" customWidth="1"/>
    <col min="15377" max="15377" width="11.7109375" style="5" customWidth="1"/>
    <col min="15378" max="15378" width="13" style="5" customWidth="1"/>
    <col min="15379" max="15390" width="11.7109375" style="5" customWidth="1"/>
    <col min="15391" max="15391" width="12.5703125" style="5" customWidth="1"/>
    <col min="15392" max="15392" width="11.7109375" style="5" customWidth="1"/>
    <col min="15393" max="15393" width="13" style="5" customWidth="1"/>
    <col min="15394" max="15399" width="11.7109375" style="5" customWidth="1"/>
    <col min="15400" max="15400" width="13.7109375" style="5" customWidth="1"/>
    <col min="15401" max="15401" width="13.140625" style="5" customWidth="1"/>
    <col min="15402" max="15405" width="13" style="5" customWidth="1"/>
    <col min="15406" max="15412" width="11.7109375" style="5" customWidth="1"/>
    <col min="15413" max="15413" width="10.85546875" style="5" customWidth="1"/>
    <col min="15414" max="15414" width="11.7109375" style="5" customWidth="1"/>
    <col min="15415" max="15417" width="22.7109375" style="5" customWidth="1"/>
    <col min="15418" max="15420" width="20.7109375" style="5" customWidth="1"/>
    <col min="15421" max="15608" width="8.85546875" style="5"/>
    <col min="15609" max="15609" width="6.140625" style="5" customWidth="1"/>
    <col min="15610" max="15610" width="20.28515625" style="5" customWidth="1"/>
    <col min="15611" max="15611" width="12.42578125" style="5" customWidth="1"/>
    <col min="15612" max="15612" width="13" style="5" customWidth="1"/>
    <col min="15613" max="15613" width="12.5703125" style="5" customWidth="1"/>
    <col min="15614" max="15627" width="11.7109375" style="5" customWidth="1"/>
    <col min="15628" max="15628" width="12.28515625" style="5" customWidth="1"/>
    <col min="15629" max="15629" width="11.7109375" style="5" customWidth="1"/>
    <col min="15630" max="15630" width="12.85546875" style="5" customWidth="1"/>
    <col min="15631" max="15631" width="11.7109375" style="5" customWidth="1"/>
    <col min="15632" max="15632" width="12.7109375" style="5" customWidth="1"/>
    <col min="15633" max="15633" width="11.7109375" style="5" customWidth="1"/>
    <col min="15634" max="15634" width="13" style="5" customWidth="1"/>
    <col min="15635" max="15646" width="11.7109375" style="5" customWidth="1"/>
    <col min="15647" max="15647" width="12.5703125" style="5" customWidth="1"/>
    <col min="15648" max="15648" width="11.7109375" style="5" customWidth="1"/>
    <col min="15649" max="15649" width="13" style="5" customWidth="1"/>
    <col min="15650" max="15655" width="11.7109375" style="5" customWidth="1"/>
    <col min="15656" max="15656" width="13.7109375" style="5" customWidth="1"/>
    <col min="15657" max="15657" width="13.140625" style="5" customWidth="1"/>
    <col min="15658" max="15661" width="13" style="5" customWidth="1"/>
    <col min="15662" max="15668" width="11.7109375" style="5" customWidth="1"/>
    <col min="15669" max="15669" width="10.85546875" style="5" customWidth="1"/>
    <col min="15670" max="15670" width="11.7109375" style="5" customWidth="1"/>
    <col min="15671" max="15673" width="22.7109375" style="5" customWidth="1"/>
    <col min="15674" max="15676" width="20.7109375" style="5" customWidth="1"/>
    <col min="15677" max="15864" width="8.85546875" style="5"/>
    <col min="15865" max="15865" width="6.140625" style="5" customWidth="1"/>
    <col min="15866" max="15866" width="20.28515625" style="5" customWidth="1"/>
    <col min="15867" max="15867" width="12.42578125" style="5" customWidth="1"/>
    <col min="15868" max="15868" width="13" style="5" customWidth="1"/>
    <col min="15869" max="15869" width="12.5703125" style="5" customWidth="1"/>
    <col min="15870" max="15883" width="11.7109375" style="5" customWidth="1"/>
    <col min="15884" max="15884" width="12.28515625" style="5" customWidth="1"/>
    <col min="15885" max="15885" width="11.7109375" style="5" customWidth="1"/>
    <col min="15886" max="15886" width="12.85546875" style="5" customWidth="1"/>
    <col min="15887" max="15887" width="11.7109375" style="5" customWidth="1"/>
    <col min="15888" max="15888" width="12.7109375" style="5" customWidth="1"/>
    <col min="15889" max="15889" width="11.7109375" style="5" customWidth="1"/>
    <col min="15890" max="15890" width="13" style="5" customWidth="1"/>
    <col min="15891" max="15902" width="11.7109375" style="5" customWidth="1"/>
    <col min="15903" max="15903" width="12.5703125" style="5" customWidth="1"/>
    <col min="15904" max="15904" width="11.7109375" style="5" customWidth="1"/>
    <col min="15905" max="15905" width="13" style="5" customWidth="1"/>
    <col min="15906" max="15911" width="11.7109375" style="5" customWidth="1"/>
    <col min="15912" max="15912" width="13.7109375" style="5" customWidth="1"/>
    <col min="15913" max="15913" width="13.140625" style="5" customWidth="1"/>
    <col min="15914" max="15917" width="13" style="5" customWidth="1"/>
    <col min="15918" max="15924" width="11.7109375" style="5" customWidth="1"/>
    <col min="15925" max="15925" width="10.85546875" style="5" customWidth="1"/>
    <col min="15926" max="15926" width="11.7109375" style="5" customWidth="1"/>
    <col min="15927" max="15929" width="22.7109375" style="5" customWidth="1"/>
    <col min="15930" max="15932" width="20.7109375" style="5" customWidth="1"/>
    <col min="15933" max="16120" width="8.85546875" style="5"/>
    <col min="16121" max="16121" width="6.140625" style="5" customWidth="1"/>
    <col min="16122" max="16122" width="20.28515625" style="5" customWidth="1"/>
    <col min="16123" max="16123" width="12.42578125" style="5" customWidth="1"/>
    <col min="16124" max="16124" width="13" style="5" customWidth="1"/>
    <col min="16125" max="16125" width="12.5703125" style="5" customWidth="1"/>
    <col min="16126" max="16139" width="11.7109375" style="5" customWidth="1"/>
    <col min="16140" max="16140" width="12.28515625" style="5" customWidth="1"/>
    <col min="16141" max="16141" width="11.7109375" style="5" customWidth="1"/>
    <col min="16142" max="16142" width="12.85546875" style="5" customWidth="1"/>
    <col min="16143" max="16143" width="11.7109375" style="5" customWidth="1"/>
    <col min="16144" max="16144" width="12.7109375" style="5" customWidth="1"/>
    <col min="16145" max="16145" width="11.7109375" style="5" customWidth="1"/>
    <col min="16146" max="16146" width="13" style="5" customWidth="1"/>
    <col min="16147" max="16158" width="11.7109375" style="5" customWidth="1"/>
    <col min="16159" max="16159" width="12.5703125" style="5" customWidth="1"/>
    <col min="16160" max="16160" width="11.7109375" style="5" customWidth="1"/>
    <col min="16161" max="16161" width="13" style="5" customWidth="1"/>
    <col min="16162" max="16167" width="11.7109375" style="5" customWidth="1"/>
    <col min="16168" max="16168" width="13.7109375" style="5" customWidth="1"/>
    <col min="16169" max="16169" width="13.140625" style="5" customWidth="1"/>
    <col min="16170" max="16173" width="13" style="5" customWidth="1"/>
    <col min="16174" max="16180" width="11.7109375" style="5" customWidth="1"/>
    <col min="16181" max="16181" width="10.85546875" style="5" customWidth="1"/>
    <col min="16182" max="16182" width="11.7109375" style="5" customWidth="1"/>
    <col min="16183" max="16185" width="22.7109375" style="5" customWidth="1"/>
    <col min="16186" max="16188" width="20.7109375" style="5" customWidth="1"/>
    <col min="16189" max="16384" width="8.85546875" style="5"/>
  </cols>
  <sheetData>
    <row r="1" spans="1:70" s="31" customFormat="1" ht="24.75" customHeight="1">
      <c r="A1" s="29"/>
      <c r="B1" s="30"/>
      <c r="C1" s="23" t="s">
        <v>132</v>
      </c>
      <c r="D1" s="23"/>
      <c r="E1" s="23"/>
      <c r="F1" s="23"/>
      <c r="G1" s="23"/>
      <c r="H1" s="23"/>
      <c r="I1" s="23" t="str">
        <f>C1</f>
        <v>Table B2: ENROLMENT IN SCHOOL EDUCATION</v>
      </c>
      <c r="J1" s="23"/>
      <c r="K1" s="23"/>
      <c r="L1" s="23"/>
      <c r="M1" s="23"/>
      <c r="N1" s="23"/>
      <c r="O1" s="23" t="str">
        <f>I1</f>
        <v>Table B2: ENROLMENT IN SCHOOL EDUCATION</v>
      </c>
      <c r="P1" s="23"/>
      <c r="Q1" s="23"/>
      <c r="R1" s="23"/>
      <c r="S1" s="23"/>
      <c r="T1" s="23"/>
      <c r="U1" s="23" t="str">
        <f>O1</f>
        <v>Table B2: ENROLMENT IN SCHOOL EDUCATION</v>
      </c>
      <c r="V1" s="23"/>
      <c r="W1" s="23"/>
      <c r="X1" s="23"/>
      <c r="Y1" s="23"/>
      <c r="Z1" s="23"/>
      <c r="AA1" s="23" t="str">
        <f>U1</f>
        <v>Table B2: ENROLMENT IN SCHOOL EDUCATION</v>
      </c>
      <c r="AB1" s="23"/>
      <c r="AC1" s="23"/>
      <c r="AD1" s="23"/>
      <c r="AE1" s="23"/>
      <c r="AF1" s="23"/>
      <c r="AG1" s="23" t="str">
        <f>AA1</f>
        <v>Table B2: ENROLMENT IN SCHOOL EDUCATION</v>
      </c>
      <c r="AH1" s="23"/>
      <c r="AI1" s="23"/>
      <c r="AJ1" s="23"/>
      <c r="AK1" s="23"/>
      <c r="AL1" s="23"/>
      <c r="AM1" s="23" t="str">
        <f>AG1</f>
        <v>Table B2: ENROLMENT IN SCHOOL EDUCATION</v>
      </c>
      <c r="AN1" s="23"/>
      <c r="AO1" s="23"/>
      <c r="AP1" s="23"/>
      <c r="AQ1" s="23"/>
      <c r="AR1" s="23"/>
      <c r="AS1" s="23" t="str">
        <f>AM1</f>
        <v>Table B2: ENROLMENT IN SCHOOL EDUCATION</v>
      </c>
      <c r="AT1" s="23"/>
      <c r="AU1" s="23"/>
      <c r="AV1" s="23"/>
      <c r="AW1" s="23"/>
      <c r="AX1" s="23"/>
      <c r="AY1" s="23" t="str">
        <f>AS1</f>
        <v>Table B2: ENROLMENT IN SCHOOL EDUCATION</v>
      </c>
      <c r="AZ1" s="23"/>
      <c r="BA1" s="23"/>
      <c r="BB1" s="23"/>
      <c r="BC1" s="23"/>
      <c r="BD1" s="23"/>
      <c r="BE1" s="23" t="str">
        <f>AY1</f>
        <v>Table B2: ENROLMENT IN SCHOOL EDUCATION</v>
      </c>
      <c r="BF1" s="23"/>
      <c r="BG1" s="23"/>
      <c r="BH1" s="23"/>
      <c r="BI1" s="23"/>
      <c r="BJ1" s="23"/>
      <c r="BK1" s="23"/>
      <c r="BL1" s="23"/>
      <c r="BM1" s="23"/>
    </row>
    <row r="2" spans="1:70" s="137" customFormat="1" ht="15.75" customHeight="1">
      <c r="C2" s="139" t="s">
        <v>79</v>
      </c>
      <c r="I2" s="139" t="str">
        <f>C2</f>
        <v>Scheduled Caste</v>
      </c>
      <c r="O2" s="139" t="str">
        <f>I2</f>
        <v>Scheduled Caste</v>
      </c>
      <c r="U2" s="139" t="str">
        <f>O2</f>
        <v>Scheduled Caste</v>
      </c>
      <c r="AA2" s="139" t="str">
        <f>U2</f>
        <v>Scheduled Caste</v>
      </c>
      <c r="AG2" s="139" t="str">
        <f>AA2</f>
        <v>Scheduled Caste</v>
      </c>
      <c r="AH2" s="139"/>
      <c r="AI2" s="139"/>
      <c r="AJ2" s="139"/>
      <c r="AK2" s="139"/>
      <c r="AL2" s="139"/>
      <c r="AM2" s="139" t="str">
        <f>AG2</f>
        <v>Scheduled Caste</v>
      </c>
      <c r="AN2" s="139"/>
      <c r="AO2" s="139"/>
      <c r="AP2" s="139"/>
      <c r="AQ2" s="139"/>
      <c r="AR2" s="139"/>
      <c r="AS2" s="139" t="str">
        <f>AM2</f>
        <v>Scheduled Caste</v>
      </c>
      <c r="AT2" s="139"/>
      <c r="AU2" s="139"/>
      <c r="AV2" s="139"/>
      <c r="AW2" s="139"/>
      <c r="AX2" s="139"/>
      <c r="AY2" s="139" t="str">
        <f>AS2</f>
        <v>Scheduled Caste</v>
      </c>
      <c r="AZ2" s="139"/>
      <c r="BA2" s="139"/>
      <c r="BB2" s="139"/>
      <c r="BC2" s="139"/>
      <c r="BD2" s="139"/>
      <c r="BE2" s="139" t="str">
        <f>AY2</f>
        <v>Scheduled Caste</v>
      </c>
      <c r="BF2" s="139"/>
      <c r="BG2" s="139"/>
      <c r="BH2" s="139"/>
      <c r="BI2" s="139"/>
      <c r="BJ2" s="139"/>
    </row>
    <row r="3" spans="1:70" s="11" customFormat="1" ht="32.25" customHeight="1">
      <c r="A3" s="283" t="s">
        <v>67</v>
      </c>
      <c r="B3" s="283" t="s">
        <v>65</v>
      </c>
      <c r="C3" s="285" t="s">
        <v>0</v>
      </c>
      <c r="D3" s="285"/>
      <c r="E3" s="285"/>
      <c r="F3" s="285" t="s">
        <v>1</v>
      </c>
      <c r="G3" s="285"/>
      <c r="H3" s="285"/>
      <c r="I3" s="285" t="s">
        <v>2</v>
      </c>
      <c r="J3" s="285"/>
      <c r="K3" s="285"/>
      <c r="L3" s="285" t="s">
        <v>3</v>
      </c>
      <c r="M3" s="285"/>
      <c r="N3" s="285"/>
      <c r="O3" s="285" t="s">
        <v>4</v>
      </c>
      <c r="P3" s="285"/>
      <c r="Q3" s="285"/>
      <c r="R3" s="285" t="s">
        <v>5</v>
      </c>
      <c r="S3" s="285"/>
      <c r="T3" s="285"/>
      <c r="U3" s="283" t="s">
        <v>82</v>
      </c>
      <c r="V3" s="285"/>
      <c r="W3" s="285"/>
      <c r="X3" s="285" t="s">
        <v>6</v>
      </c>
      <c r="Y3" s="285"/>
      <c r="Z3" s="285"/>
      <c r="AA3" s="285" t="s">
        <v>7</v>
      </c>
      <c r="AB3" s="285"/>
      <c r="AC3" s="285"/>
      <c r="AD3" s="285" t="s">
        <v>8</v>
      </c>
      <c r="AE3" s="285"/>
      <c r="AF3" s="285"/>
      <c r="AG3" s="283" t="s">
        <v>83</v>
      </c>
      <c r="AH3" s="285"/>
      <c r="AI3" s="285"/>
      <c r="AJ3" s="283" t="s">
        <v>84</v>
      </c>
      <c r="AK3" s="285"/>
      <c r="AL3" s="285"/>
      <c r="AM3" s="285" t="s">
        <v>9</v>
      </c>
      <c r="AN3" s="285"/>
      <c r="AO3" s="285"/>
      <c r="AP3" s="285" t="s">
        <v>10</v>
      </c>
      <c r="AQ3" s="285"/>
      <c r="AR3" s="285"/>
      <c r="AS3" s="283" t="s">
        <v>85</v>
      </c>
      <c r="AT3" s="285"/>
      <c r="AU3" s="285"/>
      <c r="AV3" s="283" t="s">
        <v>86</v>
      </c>
      <c r="AW3" s="285"/>
      <c r="AX3" s="285"/>
      <c r="AY3" s="285" t="s">
        <v>11</v>
      </c>
      <c r="AZ3" s="285"/>
      <c r="BA3" s="285"/>
      <c r="BB3" s="285" t="s">
        <v>12</v>
      </c>
      <c r="BC3" s="285"/>
      <c r="BD3" s="285"/>
      <c r="BE3" s="283" t="s">
        <v>87</v>
      </c>
      <c r="BF3" s="283"/>
      <c r="BG3" s="283"/>
      <c r="BH3" s="283" t="s">
        <v>88</v>
      </c>
      <c r="BI3" s="283"/>
      <c r="BJ3" s="283"/>
      <c r="BK3" s="283" t="str">
        <f>EnrlAll!BK3</f>
        <v xml:space="preserve">Grand Total 
Pre-Primary to XII
 Pre-Primary to Class XII </v>
      </c>
      <c r="BL3" s="283"/>
      <c r="BM3" s="283"/>
    </row>
    <row r="4" spans="1:70" s="11" customFormat="1" ht="20.25" customHeight="1">
      <c r="A4" s="283"/>
      <c r="B4" s="283"/>
      <c r="C4" s="248" t="s">
        <v>13</v>
      </c>
      <c r="D4" s="248" t="s">
        <v>14</v>
      </c>
      <c r="E4" s="248" t="s">
        <v>15</v>
      </c>
      <c r="F4" s="248" t="s">
        <v>13</v>
      </c>
      <c r="G4" s="248" t="s">
        <v>14</v>
      </c>
      <c r="H4" s="248" t="s">
        <v>15</v>
      </c>
      <c r="I4" s="248" t="s">
        <v>13</v>
      </c>
      <c r="J4" s="248" t="s">
        <v>14</v>
      </c>
      <c r="K4" s="248" t="s">
        <v>15</v>
      </c>
      <c r="L4" s="248" t="s">
        <v>13</v>
      </c>
      <c r="M4" s="248" t="s">
        <v>14</v>
      </c>
      <c r="N4" s="248" t="s">
        <v>15</v>
      </c>
      <c r="O4" s="248" t="s">
        <v>13</v>
      </c>
      <c r="P4" s="248" t="s">
        <v>14</v>
      </c>
      <c r="Q4" s="248" t="s">
        <v>15</v>
      </c>
      <c r="R4" s="248" t="s">
        <v>13</v>
      </c>
      <c r="S4" s="248" t="s">
        <v>14</v>
      </c>
      <c r="T4" s="248" t="s">
        <v>15</v>
      </c>
      <c r="U4" s="248" t="s">
        <v>13</v>
      </c>
      <c r="V4" s="248" t="s">
        <v>14</v>
      </c>
      <c r="W4" s="248" t="s">
        <v>15</v>
      </c>
      <c r="X4" s="248" t="s">
        <v>13</v>
      </c>
      <c r="Y4" s="248" t="s">
        <v>14</v>
      </c>
      <c r="Z4" s="248" t="s">
        <v>15</v>
      </c>
      <c r="AA4" s="248" t="s">
        <v>13</v>
      </c>
      <c r="AB4" s="248" t="s">
        <v>14</v>
      </c>
      <c r="AC4" s="248" t="s">
        <v>15</v>
      </c>
      <c r="AD4" s="248" t="s">
        <v>13</v>
      </c>
      <c r="AE4" s="248" t="s">
        <v>14</v>
      </c>
      <c r="AF4" s="248" t="s">
        <v>15</v>
      </c>
      <c r="AG4" s="248" t="s">
        <v>13</v>
      </c>
      <c r="AH4" s="248" t="s">
        <v>14</v>
      </c>
      <c r="AI4" s="248" t="s">
        <v>15</v>
      </c>
      <c r="AJ4" s="248" t="s">
        <v>13</v>
      </c>
      <c r="AK4" s="248" t="s">
        <v>14</v>
      </c>
      <c r="AL4" s="248" t="s">
        <v>15</v>
      </c>
      <c r="AM4" s="248" t="s">
        <v>13</v>
      </c>
      <c r="AN4" s="248" t="s">
        <v>14</v>
      </c>
      <c r="AO4" s="248" t="s">
        <v>15</v>
      </c>
      <c r="AP4" s="248" t="s">
        <v>13</v>
      </c>
      <c r="AQ4" s="248" t="s">
        <v>14</v>
      </c>
      <c r="AR4" s="248" t="s">
        <v>15</v>
      </c>
      <c r="AS4" s="248" t="s">
        <v>13</v>
      </c>
      <c r="AT4" s="248" t="s">
        <v>14</v>
      </c>
      <c r="AU4" s="248" t="s">
        <v>15</v>
      </c>
      <c r="AV4" s="248" t="s">
        <v>13</v>
      </c>
      <c r="AW4" s="248" t="s">
        <v>14</v>
      </c>
      <c r="AX4" s="248" t="s">
        <v>15</v>
      </c>
      <c r="AY4" s="248" t="s">
        <v>13</v>
      </c>
      <c r="AZ4" s="248" t="s">
        <v>14</v>
      </c>
      <c r="BA4" s="248" t="s">
        <v>15</v>
      </c>
      <c r="BB4" s="248" t="s">
        <v>13</v>
      </c>
      <c r="BC4" s="248" t="s">
        <v>14</v>
      </c>
      <c r="BD4" s="248" t="s">
        <v>15</v>
      </c>
      <c r="BE4" s="248" t="s">
        <v>13</v>
      </c>
      <c r="BF4" s="248" t="s">
        <v>14</v>
      </c>
      <c r="BG4" s="248" t="s">
        <v>15</v>
      </c>
      <c r="BH4" s="248" t="s">
        <v>13</v>
      </c>
      <c r="BI4" s="248" t="s">
        <v>14</v>
      </c>
      <c r="BJ4" s="248" t="s">
        <v>15</v>
      </c>
      <c r="BK4" s="248" t="s">
        <v>13</v>
      </c>
      <c r="BL4" s="248" t="s">
        <v>14</v>
      </c>
      <c r="BM4" s="248" t="s">
        <v>15</v>
      </c>
    </row>
    <row r="5" spans="1:70" s="250" customFormat="1" ht="13.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  <c r="AD5" s="22">
        <v>30</v>
      </c>
      <c r="AE5" s="22">
        <v>31</v>
      </c>
      <c r="AF5" s="22">
        <v>32</v>
      </c>
      <c r="AG5" s="22">
        <v>33</v>
      </c>
      <c r="AH5" s="22">
        <v>34</v>
      </c>
      <c r="AI5" s="22">
        <v>35</v>
      </c>
      <c r="AJ5" s="22">
        <v>36</v>
      </c>
      <c r="AK5" s="22">
        <v>37</v>
      </c>
      <c r="AL5" s="22">
        <v>38</v>
      </c>
      <c r="AM5" s="22">
        <v>39</v>
      </c>
      <c r="AN5" s="22">
        <v>40</v>
      </c>
      <c r="AO5" s="22">
        <v>41</v>
      </c>
      <c r="AP5" s="22">
        <v>42</v>
      </c>
      <c r="AQ5" s="22">
        <v>43</v>
      </c>
      <c r="AR5" s="22">
        <v>44</v>
      </c>
      <c r="AS5" s="22">
        <v>45</v>
      </c>
      <c r="AT5" s="22">
        <v>46</v>
      </c>
      <c r="AU5" s="22">
        <v>47</v>
      </c>
      <c r="AV5" s="22">
        <v>48</v>
      </c>
      <c r="AW5" s="22">
        <v>49</v>
      </c>
      <c r="AX5" s="22">
        <v>50</v>
      </c>
      <c r="AY5" s="22">
        <v>51</v>
      </c>
      <c r="AZ5" s="22">
        <v>52</v>
      </c>
      <c r="BA5" s="22">
        <v>53</v>
      </c>
      <c r="BB5" s="22">
        <v>54</v>
      </c>
      <c r="BC5" s="22">
        <v>55</v>
      </c>
      <c r="BD5" s="22">
        <v>56</v>
      </c>
      <c r="BE5" s="22">
        <v>57</v>
      </c>
      <c r="BF5" s="22">
        <v>58</v>
      </c>
      <c r="BG5" s="22">
        <v>59</v>
      </c>
      <c r="BH5" s="22">
        <v>60</v>
      </c>
      <c r="BI5" s="22">
        <v>61</v>
      </c>
      <c r="BJ5" s="22">
        <v>62</v>
      </c>
      <c r="BK5" s="136"/>
      <c r="BL5" s="136"/>
      <c r="BM5" s="136"/>
    </row>
    <row r="6" spans="1:70" ht="18.75" customHeight="1">
      <c r="A6" s="25">
        <v>1</v>
      </c>
      <c r="B6" s="26" t="s">
        <v>16</v>
      </c>
      <c r="C6" s="27">
        <v>29960</v>
      </c>
      <c r="D6" s="27">
        <v>24495</v>
      </c>
      <c r="E6" s="27">
        <f t="shared" ref="E6:E40" si="0">C6+D6</f>
        <v>54455</v>
      </c>
      <c r="F6" s="27">
        <v>149685</v>
      </c>
      <c r="G6" s="27">
        <v>142725</v>
      </c>
      <c r="H6" s="27">
        <f>F6+G6</f>
        <v>292410</v>
      </c>
      <c r="I6" s="27">
        <v>140479</v>
      </c>
      <c r="J6" s="27">
        <v>136711</v>
      </c>
      <c r="K6" s="27">
        <f t="shared" ref="K6:K40" si="1">I6+J6</f>
        <v>277190</v>
      </c>
      <c r="L6" s="27">
        <v>137825</v>
      </c>
      <c r="M6" s="27">
        <v>134290</v>
      </c>
      <c r="N6" s="27">
        <f t="shared" ref="N6:N40" si="2">L6+M6</f>
        <v>272115</v>
      </c>
      <c r="O6" s="27">
        <v>130760</v>
      </c>
      <c r="P6" s="27">
        <v>127286</v>
      </c>
      <c r="Q6" s="27">
        <f t="shared" ref="Q6:Q40" si="3">O6+P6</f>
        <v>258046</v>
      </c>
      <c r="R6" s="27">
        <v>133793</v>
      </c>
      <c r="S6" s="27">
        <v>130028</v>
      </c>
      <c r="T6" s="27">
        <f t="shared" ref="T6:T40" si="4">R6+S6</f>
        <v>263821</v>
      </c>
      <c r="U6" s="27">
        <f>F6+I6+L6+O6+R6</f>
        <v>692542</v>
      </c>
      <c r="V6" s="27">
        <f>G6+J6+M6+P6+S6</f>
        <v>671040</v>
      </c>
      <c r="W6" s="27">
        <f>U6+V6</f>
        <v>1363582</v>
      </c>
      <c r="X6" s="27">
        <v>123542</v>
      </c>
      <c r="Y6" s="27">
        <v>124090</v>
      </c>
      <c r="Z6" s="27">
        <f t="shared" ref="Z6:Z40" si="5">X6+Y6</f>
        <v>247632</v>
      </c>
      <c r="AA6" s="27">
        <v>122028</v>
      </c>
      <c r="AB6" s="27">
        <v>121300</v>
      </c>
      <c r="AC6" s="27">
        <f t="shared" ref="AC6:AC40" si="6">AA6+AB6</f>
        <v>243328</v>
      </c>
      <c r="AD6" s="27">
        <v>106303</v>
      </c>
      <c r="AE6" s="27">
        <v>104673</v>
      </c>
      <c r="AF6" s="27">
        <f t="shared" ref="AF6:AF40" si="7">AD6+AE6</f>
        <v>210976</v>
      </c>
      <c r="AG6" s="27">
        <f>X6+AA6+AD6</f>
        <v>351873</v>
      </c>
      <c r="AH6" s="27">
        <f>Y6+AB6+AE6</f>
        <v>350063</v>
      </c>
      <c r="AI6" s="27">
        <f>AG6+AH6</f>
        <v>701936</v>
      </c>
      <c r="AJ6" s="27">
        <f>U6+AG6</f>
        <v>1044415</v>
      </c>
      <c r="AK6" s="27">
        <f>V6+AH6</f>
        <v>1021103</v>
      </c>
      <c r="AL6" s="27">
        <f>AJ6+AK6</f>
        <v>2065518</v>
      </c>
      <c r="AM6" s="27">
        <v>101636</v>
      </c>
      <c r="AN6" s="27">
        <v>99333</v>
      </c>
      <c r="AO6" s="27">
        <f t="shared" ref="AO6:AO40" si="8">AM6+AN6</f>
        <v>200969</v>
      </c>
      <c r="AP6" s="27">
        <v>97478</v>
      </c>
      <c r="AQ6" s="27">
        <v>97358</v>
      </c>
      <c r="AR6" s="27">
        <f t="shared" ref="AR6:AR40" si="9">AP6+AQ6</f>
        <v>194836</v>
      </c>
      <c r="AS6" s="27">
        <f>AM6+AP6</f>
        <v>199114</v>
      </c>
      <c r="AT6" s="27">
        <f>AN6+AQ6</f>
        <v>196691</v>
      </c>
      <c r="AU6" s="27">
        <f>AS6+AT6</f>
        <v>395805</v>
      </c>
      <c r="AV6" s="27">
        <f>U6+AG6+AS6</f>
        <v>1243529</v>
      </c>
      <c r="AW6" s="27">
        <f>V6+AH6+AT6</f>
        <v>1217794</v>
      </c>
      <c r="AX6" s="27">
        <f>AV6+AW6</f>
        <v>2461323</v>
      </c>
      <c r="AY6" s="27">
        <f>2194+80283</f>
        <v>82477</v>
      </c>
      <c r="AZ6" s="27">
        <f>4637+69914</f>
        <v>74551</v>
      </c>
      <c r="BA6" s="27">
        <f>AY6+AZ6</f>
        <v>157028</v>
      </c>
      <c r="BB6" s="27">
        <f>1770+60075</f>
        <v>61845</v>
      </c>
      <c r="BC6" s="27">
        <f>4362+54518</f>
        <v>58880</v>
      </c>
      <c r="BD6" s="27">
        <f t="shared" ref="BD6:BD40" si="10">BB6+BC6</f>
        <v>120725</v>
      </c>
      <c r="BE6" s="27">
        <f>AY6+BB6</f>
        <v>144322</v>
      </c>
      <c r="BF6" s="27">
        <f>AZ6+BC6</f>
        <v>133431</v>
      </c>
      <c r="BG6" s="27">
        <f>BE6+BF6</f>
        <v>277753</v>
      </c>
      <c r="BH6" s="27">
        <f t="shared" ref="BH6:BI40" si="11">U6+AG6+AS6+BE6</f>
        <v>1387851</v>
      </c>
      <c r="BI6" s="27">
        <f t="shared" si="11"/>
        <v>1351225</v>
      </c>
      <c r="BJ6" s="27">
        <f>BH6+BI6</f>
        <v>2739076</v>
      </c>
      <c r="BK6" s="27">
        <f>C6+BH6</f>
        <v>1417811</v>
      </c>
      <c r="BL6" s="27">
        <f>D6+BI6</f>
        <v>1375720</v>
      </c>
      <c r="BM6" s="27">
        <f>BK6+BL6</f>
        <v>2793531</v>
      </c>
    </row>
    <row r="7" spans="1:70" ht="18.75" customHeight="1">
      <c r="A7" s="25">
        <v>2</v>
      </c>
      <c r="B7" s="26" t="s">
        <v>17</v>
      </c>
      <c r="C7" s="27">
        <v>0</v>
      </c>
      <c r="D7" s="27">
        <v>0</v>
      </c>
      <c r="E7" s="27">
        <f t="shared" si="0"/>
        <v>0</v>
      </c>
      <c r="F7" s="27">
        <v>0</v>
      </c>
      <c r="G7" s="27">
        <v>0</v>
      </c>
      <c r="H7" s="27">
        <f t="shared" ref="H7:H40" si="12">F7+G7</f>
        <v>0</v>
      </c>
      <c r="I7" s="27">
        <v>0</v>
      </c>
      <c r="J7" s="27">
        <v>0</v>
      </c>
      <c r="K7" s="27">
        <f t="shared" si="1"/>
        <v>0</v>
      </c>
      <c r="L7" s="27">
        <v>0</v>
      </c>
      <c r="M7" s="27">
        <v>0</v>
      </c>
      <c r="N7" s="27">
        <f t="shared" si="2"/>
        <v>0</v>
      </c>
      <c r="O7" s="27">
        <v>0</v>
      </c>
      <c r="P7" s="27">
        <v>0</v>
      </c>
      <c r="Q7" s="27">
        <f t="shared" si="3"/>
        <v>0</v>
      </c>
      <c r="R7" s="27">
        <v>0</v>
      </c>
      <c r="S7" s="27">
        <v>0</v>
      </c>
      <c r="T7" s="27">
        <f t="shared" si="4"/>
        <v>0</v>
      </c>
      <c r="U7" s="27">
        <f t="shared" ref="U7:V40" si="13">F7+I7+L7+O7+R7</f>
        <v>0</v>
      </c>
      <c r="V7" s="27">
        <f t="shared" si="13"/>
        <v>0</v>
      </c>
      <c r="W7" s="27">
        <f t="shared" ref="W7:W40" si="14">U7+V7</f>
        <v>0</v>
      </c>
      <c r="X7" s="27">
        <v>0</v>
      </c>
      <c r="Y7" s="27">
        <v>0</v>
      </c>
      <c r="Z7" s="27">
        <f t="shared" si="5"/>
        <v>0</v>
      </c>
      <c r="AA7" s="27">
        <v>0</v>
      </c>
      <c r="AB7" s="27">
        <v>0</v>
      </c>
      <c r="AC7" s="27">
        <f t="shared" si="6"/>
        <v>0</v>
      </c>
      <c r="AD7" s="27">
        <v>0</v>
      </c>
      <c r="AE7" s="27">
        <v>0</v>
      </c>
      <c r="AF7" s="27">
        <f t="shared" si="7"/>
        <v>0</v>
      </c>
      <c r="AG7" s="27">
        <f t="shared" ref="AG7:AH40" si="15">X7+AA7+AD7</f>
        <v>0</v>
      </c>
      <c r="AH7" s="27">
        <f t="shared" si="15"/>
        <v>0</v>
      </c>
      <c r="AI7" s="27">
        <f t="shared" ref="AI7:AI40" si="16">AG7+AH7</f>
        <v>0</v>
      </c>
      <c r="AJ7" s="27">
        <f t="shared" ref="AJ7:AK40" si="17">U7+AG7</f>
        <v>0</v>
      </c>
      <c r="AK7" s="27">
        <f t="shared" si="17"/>
        <v>0</v>
      </c>
      <c r="AL7" s="27">
        <f t="shared" ref="AL7:AL40" si="18">AJ7+AK7</f>
        <v>0</v>
      </c>
      <c r="AM7" s="27">
        <v>0</v>
      </c>
      <c r="AN7" s="27">
        <v>0</v>
      </c>
      <c r="AO7" s="27">
        <f t="shared" si="8"/>
        <v>0</v>
      </c>
      <c r="AP7" s="27">
        <v>0</v>
      </c>
      <c r="AQ7" s="27">
        <v>0</v>
      </c>
      <c r="AR7" s="27">
        <f t="shared" si="9"/>
        <v>0</v>
      </c>
      <c r="AS7" s="27">
        <f t="shared" ref="AS7:AT40" si="19">AM7+AP7</f>
        <v>0</v>
      </c>
      <c r="AT7" s="27">
        <f t="shared" si="19"/>
        <v>0</v>
      </c>
      <c r="AU7" s="27">
        <f t="shared" ref="AU7:AU40" si="20">AS7+AT7</f>
        <v>0</v>
      </c>
      <c r="AV7" s="27">
        <f t="shared" ref="AV7:AW40" si="21">U7+AG7+AS7</f>
        <v>0</v>
      </c>
      <c r="AW7" s="27">
        <f t="shared" si="21"/>
        <v>0</v>
      </c>
      <c r="AX7" s="27">
        <f>AV7+AW7</f>
        <v>0</v>
      </c>
      <c r="AY7" s="27">
        <v>0</v>
      </c>
      <c r="AZ7" s="27">
        <v>0</v>
      </c>
      <c r="BA7" s="27">
        <f>AY7+AZ7</f>
        <v>0</v>
      </c>
      <c r="BB7" s="27">
        <v>0</v>
      </c>
      <c r="BC7" s="27">
        <v>0</v>
      </c>
      <c r="BD7" s="27">
        <f t="shared" si="10"/>
        <v>0</v>
      </c>
      <c r="BE7" s="27">
        <f>AY7+BB7</f>
        <v>0</v>
      </c>
      <c r="BF7" s="27">
        <f>AZ7+BC7</f>
        <v>0</v>
      </c>
      <c r="BG7" s="27">
        <f>BE7+BF7</f>
        <v>0</v>
      </c>
      <c r="BH7" s="27">
        <f t="shared" si="11"/>
        <v>0</v>
      </c>
      <c r="BI7" s="27">
        <f t="shared" si="11"/>
        <v>0</v>
      </c>
      <c r="BJ7" s="27">
        <f t="shared" ref="BJ7:BJ40" si="22">BH7+BI7</f>
        <v>0</v>
      </c>
      <c r="BK7" s="27">
        <f t="shared" ref="BK7:BL40" si="23">C7+BH7</f>
        <v>0</v>
      </c>
      <c r="BL7" s="27">
        <f t="shared" si="23"/>
        <v>0</v>
      </c>
      <c r="BM7" s="27">
        <f t="shared" ref="BM7:BM40" si="24">BK7+BL7</f>
        <v>0</v>
      </c>
    </row>
    <row r="8" spans="1:70" ht="18.75" customHeight="1">
      <c r="A8" s="25">
        <v>3</v>
      </c>
      <c r="B8" s="26" t="s">
        <v>48</v>
      </c>
      <c r="C8" s="27">
        <v>32609</v>
      </c>
      <c r="D8" s="27">
        <v>31905</v>
      </c>
      <c r="E8" s="27">
        <f t="shared" si="0"/>
        <v>64514</v>
      </c>
      <c r="F8" s="27">
        <v>33043</v>
      </c>
      <c r="G8" s="27">
        <v>32073</v>
      </c>
      <c r="H8" s="27">
        <f t="shared" si="12"/>
        <v>65116</v>
      </c>
      <c r="I8" s="27">
        <v>30138</v>
      </c>
      <c r="J8" s="27">
        <v>29158</v>
      </c>
      <c r="K8" s="27">
        <f t="shared" si="1"/>
        <v>59296</v>
      </c>
      <c r="L8" s="27">
        <v>28226</v>
      </c>
      <c r="M8" s="27">
        <v>27504</v>
      </c>
      <c r="N8" s="27">
        <f t="shared" si="2"/>
        <v>55730</v>
      </c>
      <c r="O8" s="27">
        <v>27853</v>
      </c>
      <c r="P8" s="27">
        <v>27060</v>
      </c>
      <c r="Q8" s="27">
        <f t="shared" si="3"/>
        <v>54913</v>
      </c>
      <c r="R8" s="27">
        <v>24946</v>
      </c>
      <c r="S8" s="27">
        <v>25461</v>
      </c>
      <c r="T8" s="27">
        <f t="shared" si="4"/>
        <v>50407</v>
      </c>
      <c r="U8" s="27">
        <f t="shared" si="13"/>
        <v>144206</v>
      </c>
      <c r="V8" s="27">
        <f t="shared" si="13"/>
        <v>141256</v>
      </c>
      <c r="W8" s="27">
        <f t="shared" si="14"/>
        <v>285462</v>
      </c>
      <c r="X8" s="27">
        <v>23955</v>
      </c>
      <c r="Y8" s="27">
        <v>24957</v>
      </c>
      <c r="Z8" s="27">
        <f t="shared" si="5"/>
        <v>48912</v>
      </c>
      <c r="AA8" s="27">
        <v>23889</v>
      </c>
      <c r="AB8" s="27">
        <v>24787</v>
      </c>
      <c r="AC8" s="27">
        <f t="shared" si="6"/>
        <v>48676</v>
      </c>
      <c r="AD8" s="27">
        <v>24919</v>
      </c>
      <c r="AE8" s="27">
        <v>20290</v>
      </c>
      <c r="AF8" s="27">
        <f t="shared" si="7"/>
        <v>45209</v>
      </c>
      <c r="AG8" s="27">
        <f t="shared" si="15"/>
        <v>72763</v>
      </c>
      <c r="AH8" s="27">
        <f t="shared" si="15"/>
        <v>70034</v>
      </c>
      <c r="AI8" s="27">
        <f t="shared" si="16"/>
        <v>142797</v>
      </c>
      <c r="AJ8" s="27">
        <f t="shared" si="17"/>
        <v>216969</v>
      </c>
      <c r="AK8" s="27">
        <f t="shared" si="17"/>
        <v>211290</v>
      </c>
      <c r="AL8" s="27">
        <f t="shared" si="18"/>
        <v>428259</v>
      </c>
      <c r="AM8" s="27">
        <f>(4602+20326)</f>
        <v>24928</v>
      </c>
      <c r="AN8" s="27">
        <f>(5294+23028)</f>
        <v>28322</v>
      </c>
      <c r="AO8" s="27">
        <f t="shared" si="8"/>
        <v>53250</v>
      </c>
      <c r="AP8" s="27">
        <f>(3028+12821)</f>
        <v>15849</v>
      </c>
      <c r="AQ8" s="27">
        <f>(3457+13493)</f>
        <v>16950</v>
      </c>
      <c r="AR8" s="27">
        <f t="shared" si="9"/>
        <v>32799</v>
      </c>
      <c r="AS8" s="27">
        <f>AM8+AP8</f>
        <v>40777</v>
      </c>
      <c r="AT8" s="27">
        <f t="shared" si="19"/>
        <v>45272</v>
      </c>
      <c r="AU8" s="27">
        <f t="shared" si="20"/>
        <v>86049</v>
      </c>
      <c r="AV8" s="27">
        <f t="shared" si="21"/>
        <v>257746</v>
      </c>
      <c r="AW8" s="27">
        <f t="shared" si="21"/>
        <v>256562</v>
      </c>
      <c r="AX8" s="27">
        <f t="shared" ref="AX8:AX40" si="25">AV8+AW8</f>
        <v>514308</v>
      </c>
      <c r="AY8" s="27">
        <f>(1393+3176)</f>
        <v>4569</v>
      </c>
      <c r="AZ8" s="27">
        <f>(1359+2771)</f>
        <v>4130</v>
      </c>
      <c r="BA8" s="27">
        <f t="shared" ref="BA8:BA40" si="26">AY8+AZ8</f>
        <v>8699</v>
      </c>
      <c r="BB8" s="27">
        <f>(1107+2423)</f>
        <v>3530</v>
      </c>
      <c r="BC8" s="27">
        <f>(1100+2454)</f>
        <v>3554</v>
      </c>
      <c r="BD8" s="27">
        <f t="shared" si="10"/>
        <v>7084</v>
      </c>
      <c r="BE8" s="27">
        <f t="shared" ref="BE8:BF40" si="27">AY8+BB8</f>
        <v>8099</v>
      </c>
      <c r="BF8" s="27">
        <f t="shared" si="27"/>
        <v>7684</v>
      </c>
      <c r="BG8" s="27">
        <f t="shared" ref="BG8:BG40" si="28">BE8+BF8</f>
        <v>15783</v>
      </c>
      <c r="BH8" s="27">
        <f t="shared" si="11"/>
        <v>265845</v>
      </c>
      <c r="BI8" s="27">
        <f t="shared" si="11"/>
        <v>264246</v>
      </c>
      <c r="BJ8" s="27">
        <f t="shared" si="22"/>
        <v>530091</v>
      </c>
      <c r="BK8" s="27">
        <f t="shared" si="23"/>
        <v>298454</v>
      </c>
      <c r="BL8" s="27">
        <f t="shared" si="23"/>
        <v>296151</v>
      </c>
      <c r="BM8" s="27">
        <f t="shared" si="24"/>
        <v>594605</v>
      </c>
    </row>
    <row r="9" spans="1:70" ht="18.75" customHeight="1">
      <c r="A9" s="25">
        <v>4</v>
      </c>
      <c r="B9" s="26" t="s">
        <v>18</v>
      </c>
      <c r="C9" s="27"/>
      <c r="D9" s="27"/>
      <c r="E9" s="27"/>
      <c r="F9" s="27">
        <v>404490</v>
      </c>
      <c r="G9" s="27">
        <v>354161</v>
      </c>
      <c r="H9" s="27">
        <f t="shared" si="12"/>
        <v>758651</v>
      </c>
      <c r="I9" s="27">
        <v>399955</v>
      </c>
      <c r="J9" s="27">
        <v>304180</v>
      </c>
      <c r="K9" s="27">
        <f t="shared" si="1"/>
        <v>704135</v>
      </c>
      <c r="L9" s="27">
        <v>315750</v>
      </c>
      <c r="M9" s="27">
        <v>264389</v>
      </c>
      <c r="N9" s="27">
        <f t="shared" si="2"/>
        <v>580139</v>
      </c>
      <c r="O9" s="27">
        <v>265375</v>
      </c>
      <c r="P9" s="27">
        <v>224460</v>
      </c>
      <c r="Q9" s="27">
        <f t="shared" si="3"/>
        <v>489835</v>
      </c>
      <c r="R9" s="27">
        <v>224604</v>
      </c>
      <c r="S9" s="27">
        <v>181599</v>
      </c>
      <c r="T9" s="27">
        <f t="shared" si="4"/>
        <v>406203</v>
      </c>
      <c r="U9" s="27">
        <f t="shared" si="13"/>
        <v>1610174</v>
      </c>
      <c r="V9" s="27">
        <f t="shared" si="13"/>
        <v>1328789</v>
      </c>
      <c r="W9" s="27">
        <f t="shared" si="14"/>
        <v>2938963</v>
      </c>
      <c r="X9" s="27">
        <v>171418</v>
      </c>
      <c r="Y9" s="27">
        <v>137714</v>
      </c>
      <c r="Z9" s="27">
        <f t="shared" si="5"/>
        <v>309132</v>
      </c>
      <c r="AA9" s="27">
        <v>139837</v>
      </c>
      <c r="AB9" s="27">
        <v>110180</v>
      </c>
      <c r="AC9" s="27">
        <f t="shared" si="6"/>
        <v>250017</v>
      </c>
      <c r="AD9" s="27">
        <v>114889</v>
      </c>
      <c r="AE9" s="27">
        <v>89521</v>
      </c>
      <c r="AF9" s="27">
        <f t="shared" si="7"/>
        <v>204410</v>
      </c>
      <c r="AG9" s="27">
        <f t="shared" si="15"/>
        <v>426144</v>
      </c>
      <c r="AH9" s="27">
        <f t="shared" si="15"/>
        <v>337415</v>
      </c>
      <c r="AI9" s="27">
        <f t="shared" si="16"/>
        <v>763559</v>
      </c>
      <c r="AJ9" s="27">
        <f t="shared" si="17"/>
        <v>2036318</v>
      </c>
      <c r="AK9" s="27">
        <f t="shared" si="17"/>
        <v>1666204</v>
      </c>
      <c r="AL9" s="27">
        <f t="shared" si="18"/>
        <v>3702522</v>
      </c>
      <c r="AM9" s="27">
        <v>89258</v>
      </c>
      <c r="AN9" s="27">
        <v>62133</v>
      </c>
      <c r="AO9" s="27">
        <f t="shared" si="8"/>
        <v>151391</v>
      </c>
      <c r="AP9" s="27">
        <v>74688</v>
      </c>
      <c r="AQ9" s="27">
        <v>51234</v>
      </c>
      <c r="AR9" s="27">
        <f t="shared" si="9"/>
        <v>125922</v>
      </c>
      <c r="AS9" s="27">
        <f t="shared" si="19"/>
        <v>163946</v>
      </c>
      <c r="AT9" s="27">
        <f t="shared" si="19"/>
        <v>113367</v>
      </c>
      <c r="AU9" s="27">
        <f t="shared" si="20"/>
        <v>277313</v>
      </c>
      <c r="AV9" s="27">
        <f t="shared" si="21"/>
        <v>2200264</v>
      </c>
      <c r="AW9" s="27">
        <f t="shared" si="21"/>
        <v>1779571</v>
      </c>
      <c r="AX9" s="27">
        <f t="shared" si="25"/>
        <v>3979835</v>
      </c>
      <c r="AY9" s="27">
        <f>27601+17599</f>
        <v>45200</v>
      </c>
      <c r="AZ9" s="27">
        <f>21112+13390</f>
        <v>34502</v>
      </c>
      <c r="BA9" s="27">
        <f t="shared" si="26"/>
        <v>79702</v>
      </c>
      <c r="BB9" s="27">
        <f>19992+12718</f>
        <v>32710</v>
      </c>
      <c r="BC9" s="27">
        <f>13681+8703</f>
        <v>22384</v>
      </c>
      <c r="BD9" s="27">
        <f t="shared" si="10"/>
        <v>55094</v>
      </c>
      <c r="BE9" s="27">
        <f t="shared" si="27"/>
        <v>77910</v>
      </c>
      <c r="BF9" s="27">
        <f t="shared" si="27"/>
        <v>56886</v>
      </c>
      <c r="BG9" s="27">
        <f t="shared" si="28"/>
        <v>134796</v>
      </c>
      <c r="BH9" s="27">
        <f t="shared" si="11"/>
        <v>2278174</v>
      </c>
      <c r="BI9" s="27">
        <f t="shared" si="11"/>
        <v>1836457</v>
      </c>
      <c r="BJ9" s="27">
        <f>BH9+BI9</f>
        <v>4114631</v>
      </c>
      <c r="BK9" s="27">
        <f t="shared" si="23"/>
        <v>2278174</v>
      </c>
      <c r="BL9" s="27">
        <f t="shared" si="23"/>
        <v>1836457</v>
      </c>
      <c r="BM9" s="27">
        <f t="shared" si="24"/>
        <v>4114631</v>
      </c>
    </row>
    <row r="10" spans="1:70" ht="18.75" customHeight="1">
      <c r="A10" s="25">
        <v>5</v>
      </c>
      <c r="B10" s="28" t="s">
        <v>19</v>
      </c>
      <c r="C10" s="27">
        <v>6555</v>
      </c>
      <c r="D10" s="27">
        <v>5571</v>
      </c>
      <c r="E10" s="27">
        <f t="shared" si="0"/>
        <v>12126</v>
      </c>
      <c r="F10" s="27">
        <v>54411</v>
      </c>
      <c r="G10" s="27">
        <v>50965</v>
      </c>
      <c r="H10" s="27">
        <f t="shared" si="12"/>
        <v>105376</v>
      </c>
      <c r="I10" s="27">
        <v>51121</v>
      </c>
      <c r="J10" s="27">
        <v>46701</v>
      </c>
      <c r="K10" s="27">
        <f t="shared" si="1"/>
        <v>97822</v>
      </c>
      <c r="L10" s="27">
        <v>47035</v>
      </c>
      <c r="M10" s="27">
        <v>43617</v>
      </c>
      <c r="N10" s="27">
        <f t="shared" si="2"/>
        <v>90652</v>
      </c>
      <c r="O10" s="27">
        <v>44796</v>
      </c>
      <c r="P10" s="27">
        <v>41518</v>
      </c>
      <c r="Q10" s="27">
        <f t="shared" si="3"/>
        <v>86314</v>
      </c>
      <c r="R10" s="27">
        <v>42267</v>
      </c>
      <c r="S10" s="27">
        <v>40005</v>
      </c>
      <c r="T10" s="27">
        <f t="shared" si="4"/>
        <v>82272</v>
      </c>
      <c r="U10" s="27">
        <f t="shared" si="13"/>
        <v>239630</v>
      </c>
      <c r="V10" s="27">
        <f t="shared" si="13"/>
        <v>222806</v>
      </c>
      <c r="W10" s="27">
        <f t="shared" si="14"/>
        <v>462436</v>
      </c>
      <c r="X10" s="27">
        <v>40462</v>
      </c>
      <c r="Y10" s="27">
        <v>35747</v>
      </c>
      <c r="Z10" s="27">
        <f t="shared" si="5"/>
        <v>76209</v>
      </c>
      <c r="AA10" s="27">
        <v>38411</v>
      </c>
      <c r="AB10" s="27">
        <v>33583</v>
      </c>
      <c r="AC10" s="27">
        <f t="shared" si="6"/>
        <v>71994</v>
      </c>
      <c r="AD10" s="27">
        <v>33617</v>
      </c>
      <c r="AE10" s="27">
        <v>30543</v>
      </c>
      <c r="AF10" s="27">
        <f t="shared" si="7"/>
        <v>64160</v>
      </c>
      <c r="AG10" s="27">
        <f t="shared" si="15"/>
        <v>112490</v>
      </c>
      <c r="AH10" s="27">
        <f t="shared" si="15"/>
        <v>99873</v>
      </c>
      <c r="AI10" s="27">
        <f t="shared" si="16"/>
        <v>212363</v>
      </c>
      <c r="AJ10" s="27">
        <f t="shared" si="17"/>
        <v>352120</v>
      </c>
      <c r="AK10" s="27">
        <f t="shared" si="17"/>
        <v>322679</v>
      </c>
      <c r="AL10" s="27">
        <f t="shared" si="18"/>
        <v>674799</v>
      </c>
      <c r="AM10" s="27">
        <v>28170</v>
      </c>
      <c r="AN10" s="27">
        <v>27308</v>
      </c>
      <c r="AO10" s="27">
        <f t="shared" si="8"/>
        <v>55478</v>
      </c>
      <c r="AP10" s="27">
        <v>23914</v>
      </c>
      <c r="AQ10" s="27">
        <v>22587</v>
      </c>
      <c r="AR10" s="27">
        <f t="shared" si="9"/>
        <v>46501</v>
      </c>
      <c r="AS10" s="27">
        <f t="shared" si="19"/>
        <v>52084</v>
      </c>
      <c r="AT10" s="27">
        <f t="shared" si="19"/>
        <v>49895</v>
      </c>
      <c r="AU10" s="27">
        <f t="shared" si="20"/>
        <v>101979</v>
      </c>
      <c r="AV10" s="27">
        <f t="shared" si="21"/>
        <v>404204</v>
      </c>
      <c r="AW10" s="27">
        <f t="shared" si="21"/>
        <v>372574</v>
      </c>
      <c r="AX10" s="27">
        <f t="shared" si="25"/>
        <v>776778</v>
      </c>
      <c r="AY10" s="27">
        <v>14612</v>
      </c>
      <c r="AZ10" s="27">
        <v>12940</v>
      </c>
      <c r="BA10" s="27">
        <f t="shared" si="26"/>
        <v>27552</v>
      </c>
      <c r="BB10" s="27">
        <v>14069</v>
      </c>
      <c r="BC10" s="27">
        <v>11145</v>
      </c>
      <c r="BD10" s="27">
        <f t="shared" si="10"/>
        <v>25214</v>
      </c>
      <c r="BE10" s="27">
        <f t="shared" si="27"/>
        <v>28681</v>
      </c>
      <c r="BF10" s="27">
        <f t="shared" si="27"/>
        <v>24085</v>
      </c>
      <c r="BG10" s="27">
        <f t="shared" si="28"/>
        <v>52766</v>
      </c>
      <c r="BH10" s="27">
        <f t="shared" si="11"/>
        <v>432885</v>
      </c>
      <c r="BI10" s="27">
        <f t="shared" si="11"/>
        <v>396659</v>
      </c>
      <c r="BJ10" s="27">
        <f t="shared" si="22"/>
        <v>829544</v>
      </c>
      <c r="BK10" s="27">
        <f t="shared" si="23"/>
        <v>439440</v>
      </c>
      <c r="BL10" s="27">
        <f t="shared" si="23"/>
        <v>402230</v>
      </c>
      <c r="BM10" s="27">
        <f t="shared" si="24"/>
        <v>841670</v>
      </c>
    </row>
    <row r="11" spans="1:70" ht="18.75" customHeight="1">
      <c r="A11" s="25">
        <v>6</v>
      </c>
      <c r="B11" s="26" t="s">
        <v>20</v>
      </c>
      <c r="C11" s="27"/>
      <c r="D11" s="27"/>
      <c r="E11" s="27"/>
      <c r="F11" s="27">
        <v>300</v>
      </c>
      <c r="G11" s="27">
        <v>176</v>
      </c>
      <c r="H11" s="27">
        <f t="shared" si="12"/>
        <v>476</v>
      </c>
      <c r="I11" s="27">
        <v>267</v>
      </c>
      <c r="J11" s="27">
        <v>191</v>
      </c>
      <c r="K11" s="27">
        <f t="shared" si="1"/>
        <v>458</v>
      </c>
      <c r="L11" s="27">
        <v>310</v>
      </c>
      <c r="M11" s="27">
        <v>189</v>
      </c>
      <c r="N11" s="27">
        <f t="shared" si="2"/>
        <v>499</v>
      </c>
      <c r="O11" s="27">
        <v>279</v>
      </c>
      <c r="P11" s="27">
        <v>166</v>
      </c>
      <c r="Q11" s="27">
        <f t="shared" si="3"/>
        <v>445</v>
      </c>
      <c r="R11" s="27">
        <v>230</v>
      </c>
      <c r="S11" s="27">
        <v>215</v>
      </c>
      <c r="T11" s="27">
        <f t="shared" si="4"/>
        <v>445</v>
      </c>
      <c r="U11" s="27">
        <f t="shared" si="13"/>
        <v>1386</v>
      </c>
      <c r="V11" s="27">
        <f t="shared" si="13"/>
        <v>937</v>
      </c>
      <c r="W11" s="27">
        <f t="shared" si="14"/>
        <v>2323</v>
      </c>
      <c r="X11" s="27">
        <v>359</v>
      </c>
      <c r="Y11" s="27">
        <v>289</v>
      </c>
      <c r="Z11" s="27">
        <f t="shared" si="5"/>
        <v>648</v>
      </c>
      <c r="AA11" s="27">
        <v>293</v>
      </c>
      <c r="AB11" s="27">
        <v>270</v>
      </c>
      <c r="AC11" s="27">
        <f t="shared" si="6"/>
        <v>563</v>
      </c>
      <c r="AD11" s="27">
        <v>168</v>
      </c>
      <c r="AE11" s="27">
        <v>169</v>
      </c>
      <c r="AF11" s="27">
        <f t="shared" si="7"/>
        <v>337</v>
      </c>
      <c r="AG11" s="27">
        <f t="shared" si="15"/>
        <v>820</v>
      </c>
      <c r="AH11" s="27">
        <f t="shared" si="15"/>
        <v>728</v>
      </c>
      <c r="AI11" s="27">
        <f t="shared" si="16"/>
        <v>1548</v>
      </c>
      <c r="AJ11" s="27">
        <f t="shared" si="17"/>
        <v>2206</v>
      </c>
      <c r="AK11" s="27">
        <f t="shared" si="17"/>
        <v>1665</v>
      </c>
      <c r="AL11" s="27">
        <f t="shared" si="18"/>
        <v>3871</v>
      </c>
      <c r="AM11" s="27">
        <v>206</v>
      </c>
      <c r="AN11" s="27">
        <v>210</v>
      </c>
      <c r="AO11" s="27">
        <f t="shared" si="8"/>
        <v>416</v>
      </c>
      <c r="AP11" s="27">
        <v>115</v>
      </c>
      <c r="AQ11" s="27">
        <v>104</v>
      </c>
      <c r="AR11" s="27">
        <f t="shared" si="9"/>
        <v>219</v>
      </c>
      <c r="AS11" s="27">
        <f t="shared" si="19"/>
        <v>321</v>
      </c>
      <c r="AT11" s="27">
        <f t="shared" si="19"/>
        <v>314</v>
      </c>
      <c r="AU11" s="27">
        <f t="shared" si="20"/>
        <v>635</v>
      </c>
      <c r="AV11" s="27">
        <f t="shared" si="21"/>
        <v>2527</v>
      </c>
      <c r="AW11" s="27">
        <f t="shared" si="21"/>
        <v>1979</v>
      </c>
      <c r="AX11" s="27">
        <f t="shared" si="25"/>
        <v>4506</v>
      </c>
      <c r="AY11" s="27">
        <v>142</v>
      </c>
      <c r="AZ11" s="27">
        <v>123</v>
      </c>
      <c r="BA11" s="27">
        <f t="shared" si="26"/>
        <v>265</v>
      </c>
      <c r="BB11" s="27">
        <v>107</v>
      </c>
      <c r="BC11" s="27">
        <v>136</v>
      </c>
      <c r="BD11" s="27">
        <f t="shared" si="10"/>
        <v>243</v>
      </c>
      <c r="BE11" s="27">
        <f t="shared" si="27"/>
        <v>249</v>
      </c>
      <c r="BF11" s="27">
        <f t="shared" si="27"/>
        <v>259</v>
      </c>
      <c r="BG11" s="27">
        <f t="shared" si="28"/>
        <v>508</v>
      </c>
      <c r="BH11" s="27">
        <f t="shared" si="11"/>
        <v>2776</v>
      </c>
      <c r="BI11" s="27">
        <f t="shared" si="11"/>
        <v>2238</v>
      </c>
      <c r="BJ11" s="27">
        <f t="shared" si="22"/>
        <v>5014</v>
      </c>
      <c r="BK11" s="27">
        <f t="shared" si="23"/>
        <v>2776</v>
      </c>
      <c r="BL11" s="27">
        <f t="shared" si="23"/>
        <v>2238</v>
      </c>
      <c r="BM11" s="27">
        <f t="shared" si="24"/>
        <v>5014</v>
      </c>
      <c r="BR11" s="5" t="s">
        <v>199</v>
      </c>
    </row>
    <row r="12" spans="1:70" ht="18.75" customHeight="1">
      <c r="A12" s="25">
        <v>7</v>
      </c>
      <c r="B12" s="26" t="s">
        <v>21</v>
      </c>
      <c r="C12" s="27"/>
      <c r="D12" s="27"/>
      <c r="E12" s="27"/>
      <c r="F12" s="27">
        <v>53176</v>
      </c>
      <c r="G12" s="27">
        <v>52225</v>
      </c>
      <c r="H12" s="27">
        <f t="shared" si="12"/>
        <v>105401</v>
      </c>
      <c r="I12" s="27">
        <v>48231</v>
      </c>
      <c r="J12" s="27">
        <v>47379</v>
      </c>
      <c r="K12" s="27">
        <f t="shared" si="1"/>
        <v>95610</v>
      </c>
      <c r="L12" s="27">
        <v>45596</v>
      </c>
      <c r="M12" s="27">
        <v>44672</v>
      </c>
      <c r="N12" s="27">
        <f t="shared" si="2"/>
        <v>90268</v>
      </c>
      <c r="O12" s="27">
        <v>44050</v>
      </c>
      <c r="P12" s="27">
        <v>41789</v>
      </c>
      <c r="Q12" s="27">
        <f t="shared" si="3"/>
        <v>85839</v>
      </c>
      <c r="R12" s="27">
        <v>40241</v>
      </c>
      <c r="S12" s="27">
        <v>38643</v>
      </c>
      <c r="T12" s="27">
        <f t="shared" si="4"/>
        <v>78884</v>
      </c>
      <c r="U12" s="27">
        <f t="shared" si="13"/>
        <v>231294</v>
      </c>
      <c r="V12" s="27">
        <f t="shared" si="13"/>
        <v>224708</v>
      </c>
      <c r="W12" s="27">
        <f t="shared" si="14"/>
        <v>456002</v>
      </c>
      <c r="X12" s="27">
        <v>36448</v>
      </c>
      <c r="Y12" s="27">
        <v>32796</v>
      </c>
      <c r="Z12" s="27">
        <f t="shared" si="5"/>
        <v>69244</v>
      </c>
      <c r="AA12" s="27">
        <v>31669</v>
      </c>
      <c r="AB12" s="27">
        <v>29138</v>
      </c>
      <c r="AC12" s="27">
        <f t="shared" si="6"/>
        <v>60807</v>
      </c>
      <c r="AD12" s="27">
        <v>39811</v>
      </c>
      <c r="AE12" s="27">
        <v>27968</v>
      </c>
      <c r="AF12" s="27">
        <f>AD12+AE12</f>
        <v>67779</v>
      </c>
      <c r="AG12" s="27">
        <f t="shared" si="15"/>
        <v>107928</v>
      </c>
      <c r="AH12" s="27">
        <f t="shared" si="15"/>
        <v>89902</v>
      </c>
      <c r="AI12" s="27">
        <f t="shared" si="16"/>
        <v>197830</v>
      </c>
      <c r="AJ12" s="27">
        <f t="shared" si="17"/>
        <v>339222</v>
      </c>
      <c r="AK12" s="27">
        <f t="shared" si="17"/>
        <v>314610</v>
      </c>
      <c r="AL12" s="27">
        <f t="shared" si="18"/>
        <v>653832</v>
      </c>
      <c r="AM12" s="27">
        <v>41618</v>
      </c>
      <c r="AN12" s="27">
        <v>26595</v>
      </c>
      <c r="AO12" s="27">
        <f>AM12+AN12</f>
        <v>68213</v>
      </c>
      <c r="AP12" s="27">
        <v>35870</v>
      </c>
      <c r="AQ12" s="27">
        <v>24946</v>
      </c>
      <c r="AR12" s="27">
        <f>AP12+AQ12</f>
        <v>60816</v>
      </c>
      <c r="AS12" s="27">
        <f t="shared" si="19"/>
        <v>77488</v>
      </c>
      <c r="AT12" s="27">
        <f t="shared" si="19"/>
        <v>51541</v>
      </c>
      <c r="AU12" s="27">
        <f t="shared" si="20"/>
        <v>129029</v>
      </c>
      <c r="AV12" s="27">
        <f t="shared" si="21"/>
        <v>416710</v>
      </c>
      <c r="AW12" s="27">
        <f t="shared" si="21"/>
        <v>366151</v>
      </c>
      <c r="AX12" s="27">
        <f t="shared" si="25"/>
        <v>782861</v>
      </c>
      <c r="AY12" s="27">
        <v>26430</v>
      </c>
      <c r="AZ12" s="27">
        <v>17621</v>
      </c>
      <c r="BA12" s="27">
        <f>AY12+AZ12</f>
        <v>44051</v>
      </c>
      <c r="BB12" s="27">
        <v>20032</v>
      </c>
      <c r="BC12" s="27">
        <v>15433</v>
      </c>
      <c r="BD12" s="27">
        <f>BB12+BC12</f>
        <v>35465</v>
      </c>
      <c r="BE12" s="27">
        <f t="shared" si="27"/>
        <v>46462</v>
      </c>
      <c r="BF12" s="27">
        <f t="shared" si="27"/>
        <v>33054</v>
      </c>
      <c r="BG12" s="27">
        <f t="shared" si="28"/>
        <v>79516</v>
      </c>
      <c r="BH12" s="27">
        <f t="shared" si="11"/>
        <v>463172</v>
      </c>
      <c r="BI12" s="27">
        <f t="shared" si="11"/>
        <v>399205</v>
      </c>
      <c r="BJ12" s="27">
        <f t="shared" si="22"/>
        <v>862377</v>
      </c>
      <c r="BK12" s="27">
        <f t="shared" si="23"/>
        <v>463172</v>
      </c>
      <c r="BL12" s="27">
        <f t="shared" si="23"/>
        <v>399205</v>
      </c>
      <c r="BM12" s="27">
        <f t="shared" si="24"/>
        <v>862377</v>
      </c>
    </row>
    <row r="13" spans="1:70" ht="18.75" customHeight="1">
      <c r="A13" s="25">
        <v>8</v>
      </c>
      <c r="B13" s="26" t="s">
        <v>22</v>
      </c>
      <c r="C13" s="27">
        <v>16007</v>
      </c>
      <c r="D13" s="27">
        <v>14794</v>
      </c>
      <c r="E13" s="27">
        <f t="shared" si="0"/>
        <v>30801</v>
      </c>
      <c r="F13" s="27">
        <v>66979</v>
      </c>
      <c r="G13" s="27">
        <v>60150</v>
      </c>
      <c r="H13" s="27">
        <f t="shared" si="12"/>
        <v>127129</v>
      </c>
      <c r="I13" s="27">
        <v>72072</v>
      </c>
      <c r="J13" s="27">
        <v>65056</v>
      </c>
      <c r="K13" s="27">
        <f t="shared" si="1"/>
        <v>137128</v>
      </c>
      <c r="L13" s="27">
        <v>74025</v>
      </c>
      <c r="M13" s="27">
        <v>66695</v>
      </c>
      <c r="N13" s="27">
        <f t="shared" si="2"/>
        <v>140720</v>
      </c>
      <c r="O13" s="27">
        <v>72084</v>
      </c>
      <c r="P13" s="27">
        <v>61644</v>
      </c>
      <c r="Q13" s="27">
        <f t="shared" si="3"/>
        <v>133728</v>
      </c>
      <c r="R13" s="27">
        <v>65099</v>
      </c>
      <c r="S13" s="27">
        <v>59597</v>
      </c>
      <c r="T13" s="27">
        <f t="shared" si="4"/>
        <v>124696</v>
      </c>
      <c r="U13" s="27">
        <f t="shared" si="13"/>
        <v>350259</v>
      </c>
      <c r="V13" s="27">
        <f t="shared" si="13"/>
        <v>313142</v>
      </c>
      <c r="W13" s="27">
        <f t="shared" si="14"/>
        <v>663401</v>
      </c>
      <c r="X13" s="27">
        <v>61439</v>
      </c>
      <c r="Y13" s="27">
        <v>58938</v>
      </c>
      <c r="Z13" s="27">
        <f t="shared" si="5"/>
        <v>120377</v>
      </c>
      <c r="AA13" s="27">
        <v>57906</v>
      </c>
      <c r="AB13" s="27">
        <v>52936</v>
      </c>
      <c r="AC13" s="27">
        <f t="shared" si="6"/>
        <v>110842</v>
      </c>
      <c r="AD13" s="27">
        <v>54252</v>
      </c>
      <c r="AE13" s="27">
        <v>51095</v>
      </c>
      <c r="AF13" s="27">
        <f t="shared" si="7"/>
        <v>105347</v>
      </c>
      <c r="AG13" s="27">
        <f t="shared" si="15"/>
        <v>173597</v>
      </c>
      <c r="AH13" s="27">
        <f t="shared" si="15"/>
        <v>162969</v>
      </c>
      <c r="AI13" s="27">
        <f t="shared" si="16"/>
        <v>336566</v>
      </c>
      <c r="AJ13" s="27">
        <f t="shared" si="17"/>
        <v>523856</v>
      </c>
      <c r="AK13" s="27">
        <f t="shared" si="17"/>
        <v>476111</v>
      </c>
      <c r="AL13" s="27">
        <f t="shared" si="18"/>
        <v>999967</v>
      </c>
      <c r="AM13" s="27">
        <v>51162</v>
      </c>
      <c r="AN13" s="27">
        <v>45566</v>
      </c>
      <c r="AO13" s="27">
        <f t="shared" si="8"/>
        <v>96728</v>
      </c>
      <c r="AP13" s="27">
        <v>45586</v>
      </c>
      <c r="AQ13" s="27">
        <v>41187</v>
      </c>
      <c r="AR13" s="27">
        <f t="shared" si="9"/>
        <v>86773</v>
      </c>
      <c r="AS13" s="27">
        <f t="shared" si="19"/>
        <v>96748</v>
      </c>
      <c r="AT13" s="27">
        <f t="shared" si="19"/>
        <v>86753</v>
      </c>
      <c r="AU13" s="27">
        <f t="shared" si="20"/>
        <v>183501</v>
      </c>
      <c r="AV13" s="27">
        <f t="shared" si="21"/>
        <v>620604</v>
      </c>
      <c r="AW13" s="27">
        <f t="shared" si="21"/>
        <v>562864</v>
      </c>
      <c r="AX13" s="27">
        <f t="shared" si="25"/>
        <v>1183468</v>
      </c>
      <c r="AY13" s="27">
        <v>32887</v>
      </c>
      <c r="AZ13" s="27">
        <v>27371</v>
      </c>
      <c r="BA13" s="27">
        <f t="shared" si="26"/>
        <v>60258</v>
      </c>
      <c r="BB13" s="27">
        <v>28907</v>
      </c>
      <c r="BC13" s="27">
        <v>24386</v>
      </c>
      <c r="BD13" s="27">
        <f>BB13+BC13</f>
        <v>53293</v>
      </c>
      <c r="BE13" s="27">
        <f t="shared" ref="BE13" si="29">AY13+BB13</f>
        <v>61794</v>
      </c>
      <c r="BF13" s="27">
        <f t="shared" ref="BF13" si="30">AZ13+BC13</f>
        <v>51757</v>
      </c>
      <c r="BG13" s="27">
        <f t="shared" ref="BG13" si="31">BE13+BF13</f>
        <v>113551</v>
      </c>
      <c r="BH13" s="27">
        <f t="shared" ref="BH13" si="32">U13+AG13+AS13+BE13</f>
        <v>682398</v>
      </c>
      <c r="BI13" s="27">
        <f t="shared" si="11"/>
        <v>614621</v>
      </c>
      <c r="BJ13" s="27">
        <f t="shared" si="22"/>
        <v>1297019</v>
      </c>
      <c r="BK13" s="27">
        <f t="shared" si="23"/>
        <v>698405</v>
      </c>
      <c r="BL13" s="27">
        <f t="shared" si="23"/>
        <v>629415</v>
      </c>
      <c r="BM13" s="27">
        <f t="shared" si="24"/>
        <v>1327820</v>
      </c>
    </row>
    <row r="14" spans="1:70" ht="18.75" customHeight="1">
      <c r="A14" s="25">
        <v>9</v>
      </c>
      <c r="B14" s="26" t="s">
        <v>23</v>
      </c>
      <c r="C14" s="27"/>
      <c r="D14" s="27"/>
      <c r="E14" s="27">
        <f t="shared" si="0"/>
        <v>0</v>
      </c>
      <c r="F14" s="27">
        <v>17069</v>
      </c>
      <c r="G14" s="27">
        <v>15991</v>
      </c>
      <c r="H14" s="27">
        <f t="shared" si="12"/>
        <v>33060</v>
      </c>
      <c r="I14" s="27">
        <v>18336</v>
      </c>
      <c r="J14" s="27">
        <v>17403</v>
      </c>
      <c r="K14" s="27">
        <f t="shared" si="1"/>
        <v>35739</v>
      </c>
      <c r="L14" s="27">
        <v>18558</v>
      </c>
      <c r="M14" s="27">
        <v>17726</v>
      </c>
      <c r="N14" s="27">
        <f t="shared" si="2"/>
        <v>36284</v>
      </c>
      <c r="O14" s="27">
        <v>18045</v>
      </c>
      <c r="P14" s="27">
        <v>17191</v>
      </c>
      <c r="Q14" s="27">
        <f t="shared" si="3"/>
        <v>35236</v>
      </c>
      <c r="R14" s="27">
        <v>17779</v>
      </c>
      <c r="S14" s="27">
        <v>17053</v>
      </c>
      <c r="T14" s="27">
        <f t="shared" si="4"/>
        <v>34832</v>
      </c>
      <c r="U14" s="27">
        <f t="shared" si="13"/>
        <v>89787</v>
      </c>
      <c r="V14" s="27">
        <f t="shared" si="13"/>
        <v>85364</v>
      </c>
      <c r="W14" s="27">
        <f t="shared" si="14"/>
        <v>175151</v>
      </c>
      <c r="X14" s="27">
        <v>18039</v>
      </c>
      <c r="Y14" s="27">
        <v>16692</v>
      </c>
      <c r="Z14" s="27">
        <f t="shared" si="5"/>
        <v>34731</v>
      </c>
      <c r="AA14" s="27">
        <v>17949</v>
      </c>
      <c r="AB14" s="27">
        <v>16722</v>
      </c>
      <c r="AC14" s="27">
        <f t="shared" si="6"/>
        <v>34671</v>
      </c>
      <c r="AD14" s="27">
        <v>19582</v>
      </c>
      <c r="AE14" s="27">
        <v>18100</v>
      </c>
      <c r="AF14" s="27">
        <f t="shared" si="7"/>
        <v>37682</v>
      </c>
      <c r="AG14" s="27">
        <f t="shared" si="15"/>
        <v>55570</v>
      </c>
      <c r="AH14" s="27">
        <f t="shared" si="15"/>
        <v>51514</v>
      </c>
      <c r="AI14" s="27">
        <f t="shared" si="16"/>
        <v>107084</v>
      </c>
      <c r="AJ14" s="27">
        <f t="shared" si="17"/>
        <v>145357</v>
      </c>
      <c r="AK14" s="27">
        <f t="shared" si="17"/>
        <v>136878</v>
      </c>
      <c r="AL14" s="27">
        <f t="shared" si="18"/>
        <v>282235</v>
      </c>
      <c r="AM14" s="27">
        <v>20214</v>
      </c>
      <c r="AN14" s="27">
        <v>18260</v>
      </c>
      <c r="AO14" s="27">
        <f t="shared" si="8"/>
        <v>38474</v>
      </c>
      <c r="AP14" s="27">
        <v>17530</v>
      </c>
      <c r="AQ14" s="27">
        <v>16740</v>
      </c>
      <c r="AR14" s="27">
        <f t="shared" si="9"/>
        <v>34270</v>
      </c>
      <c r="AS14" s="27">
        <f t="shared" si="19"/>
        <v>37744</v>
      </c>
      <c r="AT14" s="27">
        <f t="shared" si="19"/>
        <v>35000</v>
      </c>
      <c r="AU14" s="27">
        <f t="shared" si="20"/>
        <v>72744</v>
      </c>
      <c r="AV14" s="27">
        <f t="shared" si="21"/>
        <v>183101</v>
      </c>
      <c r="AW14" s="27">
        <f t="shared" si="21"/>
        <v>171878</v>
      </c>
      <c r="AX14" s="27">
        <f t="shared" si="25"/>
        <v>354979</v>
      </c>
      <c r="AY14" s="27">
        <v>13614</v>
      </c>
      <c r="AZ14" s="27">
        <v>12393</v>
      </c>
      <c r="BA14" s="27">
        <f t="shared" si="26"/>
        <v>26007</v>
      </c>
      <c r="BB14" s="27">
        <v>9617</v>
      </c>
      <c r="BC14" s="27">
        <v>8802</v>
      </c>
      <c r="BD14" s="27">
        <f t="shared" si="10"/>
        <v>18419</v>
      </c>
      <c r="BE14" s="27">
        <f t="shared" si="27"/>
        <v>23231</v>
      </c>
      <c r="BF14" s="27">
        <f t="shared" si="27"/>
        <v>21195</v>
      </c>
      <c r="BG14" s="27">
        <f t="shared" si="28"/>
        <v>44426</v>
      </c>
      <c r="BH14" s="27">
        <f t="shared" si="11"/>
        <v>206332</v>
      </c>
      <c r="BI14" s="27">
        <f t="shared" si="11"/>
        <v>193073</v>
      </c>
      <c r="BJ14" s="27">
        <f t="shared" si="22"/>
        <v>399405</v>
      </c>
      <c r="BK14" s="27">
        <f t="shared" si="23"/>
        <v>206332</v>
      </c>
      <c r="BL14" s="27">
        <f t="shared" si="23"/>
        <v>193073</v>
      </c>
      <c r="BM14" s="27">
        <f t="shared" si="24"/>
        <v>399405</v>
      </c>
    </row>
    <row r="15" spans="1:70" s="24" customFormat="1" ht="18.75" customHeight="1">
      <c r="A15" s="25">
        <v>10</v>
      </c>
      <c r="B15" s="26" t="s">
        <v>24</v>
      </c>
      <c r="C15" s="27">
        <v>7677</v>
      </c>
      <c r="D15" s="27">
        <v>6470</v>
      </c>
      <c r="E15" s="27">
        <f t="shared" si="0"/>
        <v>14147</v>
      </c>
      <c r="F15" s="27">
        <v>10268</v>
      </c>
      <c r="G15" s="27">
        <v>9106</v>
      </c>
      <c r="H15" s="27">
        <f t="shared" si="12"/>
        <v>19374</v>
      </c>
      <c r="I15" s="27">
        <v>10115</v>
      </c>
      <c r="J15" s="27">
        <v>8619</v>
      </c>
      <c r="K15" s="27">
        <f t="shared" si="1"/>
        <v>18734</v>
      </c>
      <c r="L15" s="27">
        <v>9786</v>
      </c>
      <c r="M15" s="27">
        <v>8317</v>
      </c>
      <c r="N15" s="27">
        <f t="shared" si="2"/>
        <v>18103</v>
      </c>
      <c r="O15" s="27">
        <v>10042</v>
      </c>
      <c r="P15" s="27">
        <v>8421</v>
      </c>
      <c r="Q15" s="27">
        <f t="shared" si="3"/>
        <v>18463</v>
      </c>
      <c r="R15" s="27">
        <v>9405</v>
      </c>
      <c r="S15" s="27">
        <v>8411</v>
      </c>
      <c r="T15" s="27">
        <f t="shared" si="4"/>
        <v>17816</v>
      </c>
      <c r="U15" s="27">
        <f t="shared" si="13"/>
        <v>49616</v>
      </c>
      <c r="V15" s="27">
        <f t="shared" si="13"/>
        <v>42874</v>
      </c>
      <c r="W15" s="27">
        <f t="shared" si="14"/>
        <v>92490</v>
      </c>
      <c r="X15" s="27">
        <v>10097</v>
      </c>
      <c r="Y15" s="27">
        <v>8459</v>
      </c>
      <c r="Z15" s="27">
        <f t="shared" si="5"/>
        <v>18556</v>
      </c>
      <c r="AA15" s="27">
        <v>8995</v>
      </c>
      <c r="AB15" s="27">
        <v>7690</v>
      </c>
      <c r="AC15" s="27">
        <f t="shared" si="6"/>
        <v>16685</v>
      </c>
      <c r="AD15" s="27">
        <v>8899</v>
      </c>
      <c r="AE15" s="27">
        <v>9358</v>
      </c>
      <c r="AF15" s="27">
        <f t="shared" si="7"/>
        <v>18257</v>
      </c>
      <c r="AG15" s="27">
        <f t="shared" si="15"/>
        <v>27991</v>
      </c>
      <c r="AH15" s="27">
        <f t="shared" si="15"/>
        <v>25507</v>
      </c>
      <c r="AI15" s="27">
        <f t="shared" si="16"/>
        <v>53498</v>
      </c>
      <c r="AJ15" s="27">
        <f t="shared" si="17"/>
        <v>77607</v>
      </c>
      <c r="AK15" s="27">
        <f t="shared" si="17"/>
        <v>68381</v>
      </c>
      <c r="AL15" s="27">
        <f t="shared" si="18"/>
        <v>145988</v>
      </c>
      <c r="AM15" s="27">
        <v>7084</v>
      </c>
      <c r="AN15" s="27">
        <v>5929</v>
      </c>
      <c r="AO15" s="27">
        <f t="shared" si="8"/>
        <v>13013</v>
      </c>
      <c r="AP15" s="27">
        <v>5445</v>
      </c>
      <c r="AQ15" s="27">
        <v>4754</v>
      </c>
      <c r="AR15" s="27">
        <f t="shared" si="9"/>
        <v>10199</v>
      </c>
      <c r="AS15" s="27">
        <f t="shared" si="19"/>
        <v>12529</v>
      </c>
      <c r="AT15" s="27">
        <f t="shared" si="19"/>
        <v>10683</v>
      </c>
      <c r="AU15" s="27">
        <f t="shared" si="20"/>
        <v>23212</v>
      </c>
      <c r="AV15" s="27">
        <f t="shared" si="21"/>
        <v>90136</v>
      </c>
      <c r="AW15" s="27">
        <f t="shared" si="21"/>
        <v>79064</v>
      </c>
      <c r="AX15" s="27">
        <f t="shared" si="25"/>
        <v>169200</v>
      </c>
      <c r="AY15" s="27">
        <v>3840</v>
      </c>
      <c r="AZ15" s="27">
        <v>3275</v>
      </c>
      <c r="BA15" s="27">
        <f t="shared" si="26"/>
        <v>7115</v>
      </c>
      <c r="BB15" s="27">
        <v>3168</v>
      </c>
      <c r="BC15" s="27">
        <v>2522</v>
      </c>
      <c r="BD15" s="27">
        <f t="shared" si="10"/>
        <v>5690</v>
      </c>
      <c r="BE15" s="27">
        <f t="shared" si="27"/>
        <v>7008</v>
      </c>
      <c r="BF15" s="27">
        <f t="shared" si="27"/>
        <v>5797</v>
      </c>
      <c r="BG15" s="27">
        <f t="shared" si="28"/>
        <v>12805</v>
      </c>
      <c r="BH15" s="27">
        <f t="shared" si="11"/>
        <v>97144</v>
      </c>
      <c r="BI15" s="27">
        <f t="shared" si="11"/>
        <v>84861</v>
      </c>
      <c r="BJ15" s="27">
        <f t="shared" si="22"/>
        <v>182005</v>
      </c>
      <c r="BK15" s="27">
        <f t="shared" si="23"/>
        <v>104821</v>
      </c>
      <c r="BL15" s="27">
        <f t="shared" si="23"/>
        <v>91331</v>
      </c>
      <c r="BM15" s="27">
        <f t="shared" si="24"/>
        <v>196152</v>
      </c>
    </row>
    <row r="16" spans="1:70" s="24" customFormat="1" ht="18.75" customHeight="1">
      <c r="A16" s="25">
        <v>11</v>
      </c>
      <c r="B16" s="26" t="s">
        <v>52</v>
      </c>
      <c r="C16" s="27">
        <v>5712</v>
      </c>
      <c r="D16" s="27">
        <v>4458</v>
      </c>
      <c r="E16" s="27">
        <f t="shared" si="0"/>
        <v>10170</v>
      </c>
      <c r="F16" s="27">
        <v>91495</v>
      </c>
      <c r="G16" s="27">
        <v>87285</v>
      </c>
      <c r="H16" s="27">
        <f t="shared" si="12"/>
        <v>178780</v>
      </c>
      <c r="I16" s="27">
        <v>79628</v>
      </c>
      <c r="J16" s="27">
        <v>76483</v>
      </c>
      <c r="K16" s="27">
        <f t="shared" si="1"/>
        <v>156111</v>
      </c>
      <c r="L16" s="27">
        <v>73499</v>
      </c>
      <c r="M16" s="27">
        <v>70609</v>
      </c>
      <c r="N16" s="27">
        <f t="shared" si="2"/>
        <v>144108</v>
      </c>
      <c r="O16" s="27">
        <v>69361</v>
      </c>
      <c r="P16" s="27">
        <v>66788</v>
      </c>
      <c r="Q16" s="27">
        <f t="shared" si="3"/>
        <v>136149</v>
      </c>
      <c r="R16" s="27">
        <v>67143</v>
      </c>
      <c r="S16" s="27">
        <v>63760</v>
      </c>
      <c r="T16" s="27">
        <f t="shared" si="4"/>
        <v>130903</v>
      </c>
      <c r="U16" s="27">
        <f t="shared" ref="U16:U17" si="33">F16+I16+L16+O16+R16</f>
        <v>381126</v>
      </c>
      <c r="V16" s="27">
        <f t="shared" ref="V16:V17" si="34">G16+J16+M16+P16+S16</f>
        <v>364925</v>
      </c>
      <c r="W16" s="27">
        <f t="shared" ref="W16:W17" si="35">U16+V16</f>
        <v>746051</v>
      </c>
      <c r="X16" s="27">
        <v>47504</v>
      </c>
      <c r="Y16" s="27">
        <v>43414</v>
      </c>
      <c r="Z16" s="27">
        <f t="shared" si="5"/>
        <v>90918</v>
      </c>
      <c r="AA16" s="27">
        <v>42540</v>
      </c>
      <c r="AB16" s="27">
        <v>38291</v>
      </c>
      <c r="AC16" s="27">
        <f t="shared" si="6"/>
        <v>80831</v>
      </c>
      <c r="AD16" s="27">
        <v>37569</v>
      </c>
      <c r="AE16" s="27">
        <v>32598</v>
      </c>
      <c r="AF16" s="27">
        <f t="shared" si="7"/>
        <v>70167</v>
      </c>
      <c r="AG16" s="27">
        <f t="shared" ref="AG16" si="36">X16+AA16+AD16</f>
        <v>127613</v>
      </c>
      <c r="AH16" s="27">
        <f t="shared" ref="AH16" si="37">Y16+AB16+AE16</f>
        <v>114303</v>
      </c>
      <c r="AI16" s="27">
        <f t="shared" ref="AI16" si="38">AG16+AH16</f>
        <v>241916</v>
      </c>
      <c r="AJ16" s="27">
        <f t="shared" ref="AJ16:AJ17" si="39">U16+AG16</f>
        <v>508739</v>
      </c>
      <c r="AK16" s="27">
        <f t="shared" ref="AK16:AK17" si="40">V16+AH16</f>
        <v>479228</v>
      </c>
      <c r="AL16" s="27">
        <f t="shared" ref="AL16:AL17" si="41">AJ16+AK16</f>
        <v>987967</v>
      </c>
      <c r="AM16" s="27">
        <v>25240</v>
      </c>
      <c r="AN16" s="27">
        <v>20904</v>
      </c>
      <c r="AO16" s="27">
        <f t="shared" si="8"/>
        <v>46144</v>
      </c>
      <c r="AP16" s="27">
        <v>18364</v>
      </c>
      <c r="AQ16" s="27">
        <v>14802</v>
      </c>
      <c r="AR16" s="27">
        <f t="shared" si="9"/>
        <v>33166</v>
      </c>
      <c r="AS16" s="27">
        <f t="shared" ref="AS16" si="42">AM16+AP16</f>
        <v>43604</v>
      </c>
      <c r="AT16" s="27">
        <f t="shared" ref="AT16" si="43">AN16+AQ16</f>
        <v>35706</v>
      </c>
      <c r="AU16" s="27">
        <f t="shared" ref="AU16" si="44">AS16+AT16</f>
        <v>79310</v>
      </c>
      <c r="AV16" s="27">
        <f t="shared" ref="AV16:AV17" si="45">U16+AG16+AS16</f>
        <v>552343</v>
      </c>
      <c r="AW16" s="27">
        <f t="shared" ref="AW16:AW17" si="46">V16+AH16+AT16</f>
        <v>514934</v>
      </c>
      <c r="AX16" s="27">
        <f t="shared" ref="AX16:AX17" si="47">AV16+AW16</f>
        <v>1067277</v>
      </c>
      <c r="AY16" s="27">
        <v>5403</v>
      </c>
      <c r="AZ16" s="27">
        <v>5812</v>
      </c>
      <c r="BA16" s="27">
        <f t="shared" si="26"/>
        <v>11215</v>
      </c>
      <c r="BB16" s="27">
        <v>4783</v>
      </c>
      <c r="BC16" s="27">
        <v>4000</v>
      </c>
      <c r="BD16" s="27">
        <f t="shared" si="10"/>
        <v>8783</v>
      </c>
      <c r="BE16" s="27">
        <f t="shared" si="27"/>
        <v>10186</v>
      </c>
      <c r="BF16" s="27">
        <f t="shared" si="27"/>
        <v>9812</v>
      </c>
      <c r="BG16" s="27">
        <f t="shared" si="28"/>
        <v>19998</v>
      </c>
      <c r="BH16" s="27">
        <f t="shared" si="11"/>
        <v>562529</v>
      </c>
      <c r="BI16" s="27">
        <f t="shared" si="11"/>
        <v>524746</v>
      </c>
      <c r="BJ16" s="27">
        <f t="shared" si="22"/>
        <v>1087275</v>
      </c>
      <c r="BK16" s="27">
        <f t="shared" si="23"/>
        <v>568241</v>
      </c>
      <c r="BL16" s="27">
        <f t="shared" si="23"/>
        <v>529204</v>
      </c>
      <c r="BM16" s="27">
        <f t="shared" si="24"/>
        <v>1097445</v>
      </c>
    </row>
    <row r="17" spans="1:65" ht="18.75" customHeight="1">
      <c r="A17" s="25">
        <v>12</v>
      </c>
      <c r="B17" s="26" t="s">
        <v>25</v>
      </c>
      <c r="C17" s="27"/>
      <c r="D17" s="27"/>
      <c r="E17" s="27"/>
      <c r="F17" s="27">
        <v>115848</v>
      </c>
      <c r="G17" s="27">
        <v>105923</v>
      </c>
      <c r="H17" s="27">
        <f t="shared" si="12"/>
        <v>221771</v>
      </c>
      <c r="I17" s="27">
        <v>110307</v>
      </c>
      <c r="J17" s="27">
        <v>103252</v>
      </c>
      <c r="K17" s="27">
        <f t="shared" si="1"/>
        <v>213559</v>
      </c>
      <c r="L17" s="27">
        <v>106144</v>
      </c>
      <c r="M17" s="27">
        <v>98986</v>
      </c>
      <c r="N17" s="27">
        <f t="shared" si="2"/>
        <v>205130</v>
      </c>
      <c r="O17" s="27">
        <v>107522</v>
      </c>
      <c r="P17" s="27">
        <v>100535</v>
      </c>
      <c r="Q17" s="27">
        <f>O17+P17</f>
        <v>208057</v>
      </c>
      <c r="R17" s="27">
        <v>110010</v>
      </c>
      <c r="S17" s="27">
        <v>102788</v>
      </c>
      <c r="T17" s="27">
        <f>R17+S17</f>
        <v>212798</v>
      </c>
      <c r="U17" s="27">
        <f t="shared" si="33"/>
        <v>549831</v>
      </c>
      <c r="V17" s="27">
        <f t="shared" si="34"/>
        <v>511484</v>
      </c>
      <c r="W17" s="27">
        <f t="shared" si="35"/>
        <v>1061315</v>
      </c>
      <c r="X17" s="27">
        <v>103788</v>
      </c>
      <c r="Y17" s="27">
        <v>95044</v>
      </c>
      <c r="Z17" s="27">
        <f t="shared" si="5"/>
        <v>198832</v>
      </c>
      <c r="AA17" s="27">
        <v>100916</v>
      </c>
      <c r="AB17" s="27">
        <v>92004</v>
      </c>
      <c r="AC17" s="27">
        <f>AA17+AB17</f>
        <v>192920</v>
      </c>
      <c r="AD17" s="27">
        <v>89862</v>
      </c>
      <c r="AE17" s="27">
        <v>79002</v>
      </c>
      <c r="AF17" s="27">
        <f t="shared" si="7"/>
        <v>168864</v>
      </c>
      <c r="AG17" s="27">
        <f t="shared" si="15"/>
        <v>294566</v>
      </c>
      <c r="AH17" s="27">
        <f t="shared" si="15"/>
        <v>266050</v>
      </c>
      <c r="AI17" s="27">
        <f t="shared" si="16"/>
        <v>560616</v>
      </c>
      <c r="AJ17" s="27">
        <f t="shared" si="39"/>
        <v>844397</v>
      </c>
      <c r="AK17" s="27">
        <f t="shared" si="40"/>
        <v>777534</v>
      </c>
      <c r="AL17" s="27">
        <f t="shared" si="41"/>
        <v>1621931</v>
      </c>
      <c r="AM17" s="27">
        <v>82561</v>
      </c>
      <c r="AN17" s="27">
        <v>73329</v>
      </c>
      <c r="AO17" s="27">
        <f t="shared" si="8"/>
        <v>155890</v>
      </c>
      <c r="AP17" s="27">
        <v>68584</v>
      </c>
      <c r="AQ17" s="27">
        <v>62704</v>
      </c>
      <c r="AR17" s="27">
        <f t="shared" si="9"/>
        <v>131288</v>
      </c>
      <c r="AS17" s="27">
        <f t="shared" si="19"/>
        <v>151145</v>
      </c>
      <c r="AT17" s="27">
        <f t="shared" si="19"/>
        <v>136033</v>
      </c>
      <c r="AU17" s="27">
        <f t="shared" si="20"/>
        <v>287178</v>
      </c>
      <c r="AV17" s="27">
        <f t="shared" si="45"/>
        <v>995542</v>
      </c>
      <c r="AW17" s="27">
        <f t="shared" si="46"/>
        <v>913567</v>
      </c>
      <c r="AX17" s="27">
        <f t="shared" si="47"/>
        <v>1909109</v>
      </c>
      <c r="AY17" s="27">
        <v>49605</v>
      </c>
      <c r="AZ17" s="27">
        <v>43641</v>
      </c>
      <c r="BA17" s="27">
        <f t="shared" si="26"/>
        <v>93246</v>
      </c>
      <c r="BB17" s="27">
        <v>33973</v>
      </c>
      <c r="BC17" s="27">
        <v>31826</v>
      </c>
      <c r="BD17" s="27">
        <f t="shared" si="10"/>
        <v>65799</v>
      </c>
      <c r="BE17" s="27">
        <f t="shared" si="27"/>
        <v>83578</v>
      </c>
      <c r="BF17" s="27">
        <f t="shared" si="27"/>
        <v>75467</v>
      </c>
      <c r="BG17" s="27">
        <f t="shared" si="28"/>
        <v>159045</v>
      </c>
      <c r="BH17" s="27">
        <f t="shared" si="11"/>
        <v>1079120</v>
      </c>
      <c r="BI17" s="27">
        <f t="shared" si="11"/>
        <v>989034</v>
      </c>
      <c r="BJ17" s="27">
        <f t="shared" si="22"/>
        <v>2068154</v>
      </c>
      <c r="BK17" s="27">
        <f t="shared" si="23"/>
        <v>1079120</v>
      </c>
      <c r="BL17" s="27">
        <f t="shared" si="23"/>
        <v>989034</v>
      </c>
      <c r="BM17" s="27">
        <f t="shared" si="24"/>
        <v>2068154</v>
      </c>
    </row>
    <row r="18" spans="1:65" ht="18.75" customHeight="1">
      <c r="A18" s="25">
        <v>13</v>
      </c>
      <c r="B18" s="26" t="s">
        <v>26</v>
      </c>
      <c r="C18" s="27"/>
      <c r="D18" s="27"/>
      <c r="E18" s="27"/>
      <c r="F18" s="27">
        <v>19650</v>
      </c>
      <c r="G18" s="27">
        <v>18867</v>
      </c>
      <c r="H18" s="27">
        <f t="shared" si="12"/>
        <v>38517</v>
      </c>
      <c r="I18" s="27">
        <v>20949</v>
      </c>
      <c r="J18" s="27">
        <v>19784</v>
      </c>
      <c r="K18" s="27">
        <f t="shared" si="1"/>
        <v>40733</v>
      </c>
      <c r="L18" s="27">
        <v>22340</v>
      </c>
      <c r="M18" s="27">
        <v>21145</v>
      </c>
      <c r="N18" s="27">
        <f t="shared" si="2"/>
        <v>43485</v>
      </c>
      <c r="O18" s="27">
        <v>23278</v>
      </c>
      <c r="P18" s="27">
        <v>21926</v>
      </c>
      <c r="Q18" s="27">
        <f t="shared" si="3"/>
        <v>45204</v>
      </c>
      <c r="R18" s="27">
        <v>25476</v>
      </c>
      <c r="S18" s="27">
        <v>23731</v>
      </c>
      <c r="T18" s="27">
        <f t="shared" si="4"/>
        <v>49207</v>
      </c>
      <c r="U18" s="27">
        <f t="shared" si="13"/>
        <v>111693</v>
      </c>
      <c r="V18" s="27">
        <f t="shared" si="13"/>
        <v>105453</v>
      </c>
      <c r="W18" s="27">
        <f t="shared" si="14"/>
        <v>217146</v>
      </c>
      <c r="X18" s="27">
        <v>27330</v>
      </c>
      <c r="Y18" s="27">
        <v>25896</v>
      </c>
      <c r="Z18" s="27">
        <f t="shared" si="5"/>
        <v>53226</v>
      </c>
      <c r="AA18" s="27">
        <v>28669</v>
      </c>
      <c r="AB18" s="27">
        <v>26346</v>
      </c>
      <c r="AC18" s="27">
        <f t="shared" si="6"/>
        <v>55015</v>
      </c>
      <c r="AD18" s="27">
        <v>28539</v>
      </c>
      <c r="AE18" s="27">
        <v>25569</v>
      </c>
      <c r="AF18" s="27">
        <f t="shared" si="7"/>
        <v>54108</v>
      </c>
      <c r="AG18" s="27">
        <f t="shared" si="15"/>
        <v>84538</v>
      </c>
      <c r="AH18" s="27">
        <f t="shared" si="15"/>
        <v>77811</v>
      </c>
      <c r="AI18" s="27">
        <f t="shared" si="16"/>
        <v>162349</v>
      </c>
      <c r="AJ18" s="27">
        <f t="shared" si="17"/>
        <v>196231</v>
      </c>
      <c r="AK18" s="27">
        <f t="shared" si="17"/>
        <v>183264</v>
      </c>
      <c r="AL18" s="27">
        <f t="shared" si="18"/>
        <v>379495</v>
      </c>
      <c r="AM18" s="27">
        <v>29500</v>
      </c>
      <c r="AN18" s="27">
        <v>27210</v>
      </c>
      <c r="AO18" s="27">
        <f t="shared" si="8"/>
        <v>56710</v>
      </c>
      <c r="AP18" s="27">
        <v>26037</v>
      </c>
      <c r="AQ18" s="27">
        <v>25636</v>
      </c>
      <c r="AR18" s="27">
        <f t="shared" si="9"/>
        <v>51673</v>
      </c>
      <c r="AS18" s="27">
        <f t="shared" si="19"/>
        <v>55537</v>
      </c>
      <c r="AT18" s="27">
        <f t="shared" si="19"/>
        <v>52846</v>
      </c>
      <c r="AU18" s="27">
        <f t="shared" si="20"/>
        <v>108383</v>
      </c>
      <c r="AV18" s="27">
        <f t="shared" si="21"/>
        <v>251768</v>
      </c>
      <c r="AW18" s="27">
        <f t="shared" si="21"/>
        <v>236110</v>
      </c>
      <c r="AX18" s="27">
        <f t="shared" si="25"/>
        <v>487878</v>
      </c>
      <c r="AY18" s="27">
        <v>16023</v>
      </c>
      <c r="AZ18" s="27">
        <v>18279</v>
      </c>
      <c r="BA18" s="27">
        <f t="shared" si="26"/>
        <v>34302</v>
      </c>
      <c r="BB18" s="27">
        <v>15156</v>
      </c>
      <c r="BC18" s="27">
        <v>17469</v>
      </c>
      <c r="BD18" s="27">
        <f t="shared" si="10"/>
        <v>32625</v>
      </c>
      <c r="BE18" s="27">
        <f t="shared" si="27"/>
        <v>31179</v>
      </c>
      <c r="BF18" s="27">
        <f t="shared" si="27"/>
        <v>35748</v>
      </c>
      <c r="BG18" s="27">
        <f t="shared" si="28"/>
        <v>66927</v>
      </c>
      <c r="BH18" s="27">
        <f t="shared" si="11"/>
        <v>282947</v>
      </c>
      <c r="BI18" s="27">
        <f t="shared" si="11"/>
        <v>271858</v>
      </c>
      <c r="BJ18" s="27">
        <f t="shared" si="22"/>
        <v>554805</v>
      </c>
      <c r="BK18" s="27">
        <f t="shared" si="23"/>
        <v>282947</v>
      </c>
      <c r="BL18" s="27">
        <f t="shared" si="23"/>
        <v>271858</v>
      </c>
      <c r="BM18" s="27">
        <f t="shared" si="24"/>
        <v>554805</v>
      </c>
    </row>
    <row r="19" spans="1:65" ht="18.75" customHeight="1">
      <c r="A19" s="25">
        <v>14</v>
      </c>
      <c r="B19" s="26" t="s">
        <v>27</v>
      </c>
      <c r="C19" s="27"/>
      <c r="D19" s="27"/>
      <c r="E19" s="27"/>
      <c r="F19" s="27">
        <v>204024</v>
      </c>
      <c r="G19" s="27">
        <v>185729</v>
      </c>
      <c r="H19" s="27">
        <f t="shared" si="12"/>
        <v>389753</v>
      </c>
      <c r="I19" s="27">
        <v>190823</v>
      </c>
      <c r="J19" s="27">
        <v>183010</v>
      </c>
      <c r="K19" s="27">
        <f t="shared" si="1"/>
        <v>373833</v>
      </c>
      <c r="L19" s="27">
        <v>179531</v>
      </c>
      <c r="M19" s="27">
        <v>177793</v>
      </c>
      <c r="N19" s="27">
        <f t="shared" si="2"/>
        <v>357324</v>
      </c>
      <c r="O19" s="27">
        <v>174702</v>
      </c>
      <c r="P19" s="27">
        <v>173017</v>
      </c>
      <c r="Q19" s="27">
        <f t="shared" si="3"/>
        <v>347719</v>
      </c>
      <c r="R19" s="27">
        <v>165085</v>
      </c>
      <c r="S19" s="27">
        <v>166032</v>
      </c>
      <c r="T19" s="27">
        <f t="shared" si="4"/>
        <v>331117</v>
      </c>
      <c r="U19" s="27">
        <f t="shared" si="13"/>
        <v>914165</v>
      </c>
      <c r="V19" s="27">
        <f t="shared" si="13"/>
        <v>885581</v>
      </c>
      <c r="W19" s="27">
        <f t="shared" si="14"/>
        <v>1799746</v>
      </c>
      <c r="X19" s="27">
        <v>153056</v>
      </c>
      <c r="Y19" s="27">
        <v>157005</v>
      </c>
      <c r="Z19" s="27">
        <f t="shared" si="5"/>
        <v>310061</v>
      </c>
      <c r="AA19" s="27">
        <v>145168</v>
      </c>
      <c r="AB19" s="27">
        <v>148389</v>
      </c>
      <c r="AC19" s="27">
        <f t="shared" si="6"/>
        <v>293557</v>
      </c>
      <c r="AD19" s="27">
        <v>128749</v>
      </c>
      <c r="AE19" s="27">
        <v>125462</v>
      </c>
      <c r="AF19" s="27">
        <f t="shared" si="7"/>
        <v>254211</v>
      </c>
      <c r="AG19" s="27">
        <f t="shared" si="15"/>
        <v>426973</v>
      </c>
      <c r="AH19" s="27">
        <f t="shared" si="15"/>
        <v>430856</v>
      </c>
      <c r="AI19" s="27">
        <f t="shared" si="16"/>
        <v>857829</v>
      </c>
      <c r="AJ19" s="27">
        <f t="shared" si="17"/>
        <v>1341138</v>
      </c>
      <c r="AK19" s="27">
        <f t="shared" si="17"/>
        <v>1316437</v>
      </c>
      <c r="AL19" s="27">
        <f t="shared" si="18"/>
        <v>2657575</v>
      </c>
      <c r="AM19" s="27">
        <v>165235</v>
      </c>
      <c r="AN19" s="27">
        <v>105234</v>
      </c>
      <c r="AO19" s="27">
        <f t="shared" si="8"/>
        <v>270469</v>
      </c>
      <c r="AP19" s="27">
        <v>110235</v>
      </c>
      <c r="AQ19" s="27">
        <v>75777</v>
      </c>
      <c r="AR19" s="27">
        <f t="shared" si="9"/>
        <v>186012</v>
      </c>
      <c r="AS19" s="27">
        <f t="shared" si="19"/>
        <v>275470</v>
      </c>
      <c r="AT19" s="27">
        <f t="shared" si="19"/>
        <v>181011</v>
      </c>
      <c r="AU19" s="27">
        <f t="shared" si="20"/>
        <v>456481</v>
      </c>
      <c r="AV19" s="27">
        <f t="shared" si="21"/>
        <v>1616608</v>
      </c>
      <c r="AW19" s="27">
        <f t="shared" si="21"/>
        <v>1497448</v>
      </c>
      <c r="AX19" s="27">
        <f t="shared" si="25"/>
        <v>3114056</v>
      </c>
      <c r="AY19" s="27">
        <v>87344</v>
      </c>
      <c r="AZ19" s="27">
        <v>60234</v>
      </c>
      <c r="BA19" s="27">
        <f t="shared" si="26"/>
        <v>147578</v>
      </c>
      <c r="BB19" s="27">
        <v>73561</v>
      </c>
      <c r="BC19" s="27">
        <v>55567</v>
      </c>
      <c r="BD19" s="27">
        <f t="shared" si="10"/>
        <v>129128</v>
      </c>
      <c r="BE19" s="27">
        <f t="shared" si="27"/>
        <v>160905</v>
      </c>
      <c r="BF19" s="27">
        <f t="shared" si="27"/>
        <v>115801</v>
      </c>
      <c r="BG19" s="27">
        <f t="shared" si="28"/>
        <v>276706</v>
      </c>
      <c r="BH19" s="27">
        <f t="shared" si="11"/>
        <v>1777513</v>
      </c>
      <c r="BI19" s="27">
        <f t="shared" si="11"/>
        <v>1613249</v>
      </c>
      <c r="BJ19" s="27">
        <f t="shared" si="22"/>
        <v>3390762</v>
      </c>
      <c r="BK19" s="27">
        <f t="shared" si="23"/>
        <v>1777513</v>
      </c>
      <c r="BL19" s="27">
        <f t="shared" si="23"/>
        <v>1613249</v>
      </c>
      <c r="BM19" s="27">
        <f t="shared" si="24"/>
        <v>3390762</v>
      </c>
    </row>
    <row r="20" spans="1:65" ht="18.75" customHeight="1">
      <c r="A20" s="25">
        <v>15</v>
      </c>
      <c r="B20" s="26" t="s">
        <v>28</v>
      </c>
      <c r="C20" s="27">
        <v>201552</v>
      </c>
      <c r="D20" s="27">
        <v>177026</v>
      </c>
      <c r="E20" s="27">
        <f t="shared" si="0"/>
        <v>378578</v>
      </c>
      <c r="F20" s="27">
        <v>143602</v>
      </c>
      <c r="G20" s="27">
        <v>133746</v>
      </c>
      <c r="H20" s="27">
        <f t="shared" si="12"/>
        <v>277348</v>
      </c>
      <c r="I20" s="27">
        <v>145950</v>
      </c>
      <c r="J20" s="27">
        <v>136880</v>
      </c>
      <c r="K20" s="27">
        <f t="shared" si="1"/>
        <v>282830</v>
      </c>
      <c r="L20" s="27">
        <v>153039</v>
      </c>
      <c r="M20" s="27">
        <v>142557</v>
      </c>
      <c r="N20" s="27">
        <f t="shared" si="2"/>
        <v>295596</v>
      </c>
      <c r="O20" s="27">
        <v>152793</v>
      </c>
      <c r="P20" s="27">
        <v>141730</v>
      </c>
      <c r="Q20" s="27">
        <f t="shared" si="3"/>
        <v>294523</v>
      </c>
      <c r="R20" s="27">
        <v>155592</v>
      </c>
      <c r="S20" s="27">
        <v>142094</v>
      </c>
      <c r="T20" s="27">
        <f t="shared" si="4"/>
        <v>297686</v>
      </c>
      <c r="U20" s="27">
        <f t="shared" si="13"/>
        <v>750976</v>
      </c>
      <c r="V20" s="27">
        <f t="shared" si="13"/>
        <v>697007</v>
      </c>
      <c r="W20" s="27">
        <f t="shared" si="14"/>
        <v>1447983</v>
      </c>
      <c r="X20" s="27">
        <v>153017</v>
      </c>
      <c r="Y20" s="27">
        <v>140045</v>
      </c>
      <c r="Z20" s="27">
        <f t="shared" si="5"/>
        <v>293062</v>
      </c>
      <c r="AA20" s="27">
        <v>151021</v>
      </c>
      <c r="AB20" s="27">
        <v>137259</v>
      </c>
      <c r="AC20" s="27">
        <f t="shared" si="6"/>
        <v>288280</v>
      </c>
      <c r="AD20" s="27">
        <v>138688</v>
      </c>
      <c r="AE20" s="27">
        <v>122552</v>
      </c>
      <c r="AF20" s="27">
        <f t="shared" si="7"/>
        <v>261240</v>
      </c>
      <c r="AG20" s="27">
        <f t="shared" si="15"/>
        <v>442726</v>
      </c>
      <c r="AH20" s="27">
        <f t="shared" si="15"/>
        <v>399856</v>
      </c>
      <c r="AI20" s="27">
        <f t="shared" si="16"/>
        <v>842582</v>
      </c>
      <c r="AJ20" s="27">
        <f t="shared" si="17"/>
        <v>1193702</v>
      </c>
      <c r="AK20" s="27">
        <f t="shared" si="17"/>
        <v>1096863</v>
      </c>
      <c r="AL20" s="27">
        <f t="shared" si="18"/>
        <v>2290565</v>
      </c>
      <c r="AM20" s="27">
        <v>131198</v>
      </c>
      <c r="AN20" s="27">
        <v>109898</v>
      </c>
      <c r="AO20" s="27">
        <f t="shared" si="8"/>
        <v>241096</v>
      </c>
      <c r="AP20" s="27">
        <v>119892</v>
      </c>
      <c r="AQ20" s="27">
        <v>101224</v>
      </c>
      <c r="AR20" s="27">
        <f t="shared" si="9"/>
        <v>221116</v>
      </c>
      <c r="AS20" s="27">
        <f t="shared" si="19"/>
        <v>251090</v>
      </c>
      <c r="AT20" s="27">
        <f t="shared" si="19"/>
        <v>211122</v>
      </c>
      <c r="AU20" s="27">
        <f t="shared" si="20"/>
        <v>462212</v>
      </c>
      <c r="AV20" s="27">
        <f t="shared" si="21"/>
        <v>1444792</v>
      </c>
      <c r="AW20" s="27">
        <f t="shared" si="21"/>
        <v>1307985</v>
      </c>
      <c r="AX20" s="27">
        <f t="shared" si="25"/>
        <v>2752777</v>
      </c>
      <c r="AY20" s="27">
        <v>98314</v>
      </c>
      <c r="AZ20" s="27">
        <v>76339</v>
      </c>
      <c r="BA20" s="27">
        <f t="shared" si="26"/>
        <v>174653</v>
      </c>
      <c r="BB20" s="27">
        <v>96387</v>
      </c>
      <c r="BC20" s="27">
        <v>74843</v>
      </c>
      <c r="BD20" s="27">
        <f t="shared" si="10"/>
        <v>171230</v>
      </c>
      <c r="BE20" s="27">
        <f t="shared" si="27"/>
        <v>194701</v>
      </c>
      <c r="BF20" s="27">
        <f t="shared" si="27"/>
        <v>151182</v>
      </c>
      <c r="BG20" s="27">
        <f t="shared" si="28"/>
        <v>345883</v>
      </c>
      <c r="BH20" s="27">
        <f t="shared" si="11"/>
        <v>1639493</v>
      </c>
      <c r="BI20" s="27">
        <f t="shared" si="11"/>
        <v>1459167</v>
      </c>
      <c r="BJ20" s="27">
        <f t="shared" si="22"/>
        <v>3098660</v>
      </c>
      <c r="BK20" s="27">
        <f t="shared" si="23"/>
        <v>1841045</v>
      </c>
      <c r="BL20" s="27">
        <f t="shared" si="23"/>
        <v>1636193</v>
      </c>
      <c r="BM20" s="27">
        <f t="shared" si="24"/>
        <v>3477238</v>
      </c>
    </row>
    <row r="21" spans="1:65" ht="18.75" customHeight="1">
      <c r="A21" s="25">
        <v>16</v>
      </c>
      <c r="B21" s="26" t="s">
        <v>29</v>
      </c>
      <c r="C21" s="27">
        <v>1417</v>
      </c>
      <c r="D21" s="27">
        <v>1240</v>
      </c>
      <c r="E21" s="27">
        <f t="shared" si="0"/>
        <v>2657</v>
      </c>
      <c r="F21" s="27">
        <v>1847</v>
      </c>
      <c r="G21" s="27">
        <v>1877</v>
      </c>
      <c r="H21" s="27">
        <f t="shared" si="12"/>
        <v>3724</v>
      </c>
      <c r="I21" s="27">
        <v>1322</v>
      </c>
      <c r="J21" s="27">
        <v>1328</v>
      </c>
      <c r="K21" s="27">
        <f t="shared" si="1"/>
        <v>2650</v>
      </c>
      <c r="L21" s="27">
        <v>1210</v>
      </c>
      <c r="M21" s="27">
        <v>1173</v>
      </c>
      <c r="N21" s="27">
        <f t="shared" si="2"/>
        <v>2383</v>
      </c>
      <c r="O21" s="27">
        <v>1086</v>
      </c>
      <c r="P21" s="27">
        <v>1069</v>
      </c>
      <c r="Q21" s="27">
        <f t="shared" si="3"/>
        <v>2155</v>
      </c>
      <c r="R21" s="27">
        <v>1095</v>
      </c>
      <c r="S21" s="27">
        <v>1137</v>
      </c>
      <c r="T21" s="27">
        <f t="shared" si="4"/>
        <v>2232</v>
      </c>
      <c r="U21" s="27">
        <f t="shared" si="13"/>
        <v>6560</v>
      </c>
      <c r="V21" s="27">
        <f t="shared" si="13"/>
        <v>6584</v>
      </c>
      <c r="W21" s="27">
        <f t="shared" si="14"/>
        <v>13144</v>
      </c>
      <c r="X21" s="27">
        <v>979</v>
      </c>
      <c r="Y21" s="27">
        <v>1015</v>
      </c>
      <c r="Z21" s="27">
        <f>X21+Y21</f>
        <v>1994</v>
      </c>
      <c r="AA21" s="27">
        <v>921</v>
      </c>
      <c r="AB21" s="27">
        <v>1045</v>
      </c>
      <c r="AC21" s="27">
        <f t="shared" si="6"/>
        <v>1966</v>
      </c>
      <c r="AD21" s="27">
        <v>893</v>
      </c>
      <c r="AE21" s="27">
        <v>984</v>
      </c>
      <c r="AF21" s="27">
        <f>AD21+AE21</f>
        <v>1877</v>
      </c>
      <c r="AG21" s="27">
        <f t="shared" si="15"/>
        <v>2793</v>
      </c>
      <c r="AH21" s="27">
        <f t="shared" si="15"/>
        <v>3044</v>
      </c>
      <c r="AI21" s="27">
        <f t="shared" si="16"/>
        <v>5837</v>
      </c>
      <c r="AJ21" s="27">
        <f t="shared" si="17"/>
        <v>9353</v>
      </c>
      <c r="AK21" s="27">
        <f t="shared" si="17"/>
        <v>9628</v>
      </c>
      <c r="AL21" s="27">
        <f t="shared" si="18"/>
        <v>18981</v>
      </c>
      <c r="AM21" s="27">
        <v>664</v>
      </c>
      <c r="AN21" s="27">
        <v>621</v>
      </c>
      <c r="AO21" s="27">
        <f>AM21+AN21</f>
        <v>1285</v>
      </c>
      <c r="AP21" s="27">
        <v>658</v>
      </c>
      <c r="AQ21" s="27">
        <v>588</v>
      </c>
      <c r="AR21" s="27">
        <f>AP21+AQ21</f>
        <v>1246</v>
      </c>
      <c r="AS21" s="27">
        <f t="shared" si="19"/>
        <v>1322</v>
      </c>
      <c r="AT21" s="27">
        <f t="shared" si="19"/>
        <v>1209</v>
      </c>
      <c r="AU21" s="27">
        <f t="shared" si="20"/>
        <v>2531</v>
      </c>
      <c r="AV21" s="27">
        <f t="shared" si="21"/>
        <v>10675</v>
      </c>
      <c r="AW21" s="27">
        <f t="shared" si="21"/>
        <v>10837</v>
      </c>
      <c r="AX21" s="27">
        <f t="shared" si="25"/>
        <v>21512</v>
      </c>
      <c r="AY21" s="27">
        <v>296</v>
      </c>
      <c r="AZ21" s="27">
        <v>307</v>
      </c>
      <c r="BA21" s="27">
        <f>AY21+AZ21</f>
        <v>603</v>
      </c>
      <c r="BB21" s="27">
        <v>288</v>
      </c>
      <c r="BC21" s="27">
        <v>263</v>
      </c>
      <c r="BD21" s="27">
        <f>BB21+BC21</f>
        <v>551</v>
      </c>
      <c r="BE21" s="27">
        <f t="shared" si="27"/>
        <v>584</v>
      </c>
      <c r="BF21" s="27">
        <f t="shared" si="27"/>
        <v>570</v>
      </c>
      <c r="BG21" s="27">
        <f t="shared" si="28"/>
        <v>1154</v>
      </c>
      <c r="BH21" s="27">
        <f t="shared" si="11"/>
        <v>11259</v>
      </c>
      <c r="BI21" s="27">
        <f t="shared" si="11"/>
        <v>11407</v>
      </c>
      <c r="BJ21" s="27">
        <f t="shared" si="22"/>
        <v>22666</v>
      </c>
      <c r="BK21" s="27">
        <f t="shared" si="23"/>
        <v>12676</v>
      </c>
      <c r="BL21" s="27">
        <f t="shared" si="23"/>
        <v>12647</v>
      </c>
      <c r="BM21" s="27">
        <f t="shared" si="24"/>
        <v>25323</v>
      </c>
    </row>
    <row r="22" spans="1:65" ht="18.75" customHeight="1">
      <c r="A22" s="25">
        <v>17</v>
      </c>
      <c r="B22" s="26" t="s">
        <v>30</v>
      </c>
      <c r="C22" s="27">
        <v>1179</v>
      </c>
      <c r="D22" s="27">
        <v>1171</v>
      </c>
      <c r="E22" s="27">
        <f t="shared" si="0"/>
        <v>2350</v>
      </c>
      <c r="F22" s="27">
        <v>852</v>
      </c>
      <c r="G22" s="27">
        <v>756</v>
      </c>
      <c r="H22" s="27">
        <f t="shared" si="12"/>
        <v>1608</v>
      </c>
      <c r="I22" s="27">
        <v>627</v>
      </c>
      <c r="J22" s="27">
        <v>629</v>
      </c>
      <c r="K22" s="27">
        <f t="shared" si="1"/>
        <v>1256</v>
      </c>
      <c r="L22" s="27">
        <v>517</v>
      </c>
      <c r="M22" s="27">
        <v>555</v>
      </c>
      <c r="N22" s="27">
        <f t="shared" si="2"/>
        <v>1072</v>
      </c>
      <c r="O22" s="27">
        <v>489</v>
      </c>
      <c r="P22" s="27">
        <v>429</v>
      </c>
      <c r="Q22" s="27">
        <f t="shared" si="3"/>
        <v>918</v>
      </c>
      <c r="R22" s="27">
        <v>446</v>
      </c>
      <c r="S22" s="27">
        <v>382</v>
      </c>
      <c r="T22" s="27">
        <f t="shared" si="4"/>
        <v>828</v>
      </c>
      <c r="U22" s="27">
        <f t="shared" si="13"/>
        <v>2931</v>
      </c>
      <c r="V22" s="27">
        <f t="shared" si="13"/>
        <v>2751</v>
      </c>
      <c r="W22" s="27">
        <f t="shared" si="14"/>
        <v>5682</v>
      </c>
      <c r="X22" s="27">
        <v>417</v>
      </c>
      <c r="Y22" s="27">
        <v>448</v>
      </c>
      <c r="Z22" s="27">
        <f t="shared" si="5"/>
        <v>865</v>
      </c>
      <c r="AA22" s="27">
        <v>401</v>
      </c>
      <c r="AB22" s="27">
        <v>370</v>
      </c>
      <c r="AC22" s="27">
        <f t="shared" si="6"/>
        <v>771</v>
      </c>
      <c r="AD22" s="27">
        <v>311</v>
      </c>
      <c r="AE22" s="27">
        <v>286</v>
      </c>
      <c r="AF22" s="27">
        <f t="shared" si="7"/>
        <v>597</v>
      </c>
      <c r="AG22" s="27">
        <f t="shared" si="15"/>
        <v>1129</v>
      </c>
      <c r="AH22" s="27">
        <f t="shared" si="15"/>
        <v>1104</v>
      </c>
      <c r="AI22" s="27">
        <f t="shared" si="16"/>
        <v>2233</v>
      </c>
      <c r="AJ22" s="27">
        <f t="shared" si="17"/>
        <v>4060</v>
      </c>
      <c r="AK22" s="27">
        <f t="shared" si="17"/>
        <v>3855</v>
      </c>
      <c r="AL22" s="27">
        <f t="shared" si="18"/>
        <v>7915</v>
      </c>
      <c r="AM22" s="27">
        <v>414</v>
      </c>
      <c r="AN22" s="27">
        <v>377</v>
      </c>
      <c r="AO22" s="27">
        <f t="shared" si="8"/>
        <v>791</v>
      </c>
      <c r="AP22" s="27">
        <v>363</v>
      </c>
      <c r="AQ22" s="27">
        <v>306</v>
      </c>
      <c r="AR22" s="27">
        <f t="shared" si="9"/>
        <v>669</v>
      </c>
      <c r="AS22" s="27">
        <f t="shared" si="19"/>
        <v>777</v>
      </c>
      <c r="AT22" s="27">
        <f t="shared" si="19"/>
        <v>683</v>
      </c>
      <c r="AU22" s="27">
        <f t="shared" si="20"/>
        <v>1460</v>
      </c>
      <c r="AV22" s="27">
        <f t="shared" si="21"/>
        <v>4837</v>
      </c>
      <c r="AW22" s="27">
        <f t="shared" si="21"/>
        <v>4538</v>
      </c>
      <c r="AX22" s="27">
        <f t="shared" si="25"/>
        <v>9375</v>
      </c>
      <c r="AY22" s="27">
        <v>53</v>
      </c>
      <c r="AZ22" s="27">
        <v>62</v>
      </c>
      <c r="BA22" s="27">
        <f>AY22+AZ22</f>
        <v>115</v>
      </c>
      <c r="BB22" s="27">
        <v>43</v>
      </c>
      <c r="BC22" s="27">
        <v>35</v>
      </c>
      <c r="BD22" s="27">
        <f>BB22+BC22</f>
        <v>78</v>
      </c>
      <c r="BE22" s="27">
        <f t="shared" si="27"/>
        <v>96</v>
      </c>
      <c r="BF22" s="27">
        <f t="shared" si="27"/>
        <v>97</v>
      </c>
      <c r="BG22" s="27">
        <f t="shared" si="28"/>
        <v>193</v>
      </c>
      <c r="BH22" s="27">
        <f t="shared" si="11"/>
        <v>4933</v>
      </c>
      <c r="BI22" s="27">
        <f t="shared" si="11"/>
        <v>4635</v>
      </c>
      <c r="BJ22" s="27">
        <f t="shared" si="22"/>
        <v>9568</v>
      </c>
      <c r="BK22" s="27">
        <f t="shared" si="23"/>
        <v>6112</v>
      </c>
      <c r="BL22" s="27">
        <f t="shared" si="23"/>
        <v>5806</v>
      </c>
      <c r="BM22" s="27">
        <f t="shared" si="24"/>
        <v>11918</v>
      </c>
    </row>
    <row r="23" spans="1:65" ht="18.75" customHeight="1">
      <c r="A23" s="25">
        <v>18</v>
      </c>
      <c r="B23" s="26" t="s">
        <v>31</v>
      </c>
      <c r="C23" s="27">
        <v>104</v>
      </c>
      <c r="D23" s="27">
        <v>88</v>
      </c>
      <c r="E23" s="27">
        <f t="shared" si="0"/>
        <v>192</v>
      </c>
      <c r="F23" s="27">
        <v>80</v>
      </c>
      <c r="G23" s="27">
        <v>71</v>
      </c>
      <c r="H23" s="27">
        <f t="shared" si="12"/>
        <v>151</v>
      </c>
      <c r="I23" s="27">
        <v>55</v>
      </c>
      <c r="J23" s="27">
        <v>58</v>
      </c>
      <c r="K23" s="27">
        <f t="shared" si="1"/>
        <v>113</v>
      </c>
      <c r="L23" s="27">
        <v>55</v>
      </c>
      <c r="M23" s="27">
        <v>46</v>
      </c>
      <c r="N23" s="27">
        <f t="shared" si="2"/>
        <v>101</v>
      </c>
      <c r="O23" s="27">
        <v>57</v>
      </c>
      <c r="P23" s="27">
        <v>45</v>
      </c>
      <c r="Q23" s="27">
        <f t="shared" si="3"/>
        <v>102</v>
      </c>
      <c r="R23" s="27">
        <v>45</v>
      </c>
      <c r="S23" s="27">
        <v>24</v>
      </c>
      <c r="T23" s="27">
        <f t="shared" si="4"/>
        <v>69</v>
      </c>
      <c r="U23" s="27">
        <f t="shared" si="13"/>
        <v>292</v>
      </c>
      <c r="V23" s="27">
        <f t="shared" si="13"/>
        <v>244</v>
      </c>
      <c r="W23" s="27">
        <f t="shared" si="14"/>
        <v>536</v>
      </c>
      <c r="X23" s="27">
        <v>44</v>
      </c>
      <c r="Y23" s="27">
        <v>30</v>
      </c>
      <c r="Z23" s="27">
        <f t="shared" si="5"/>
        <v>74</v>
      </c>
      <c r="AA23" s="27">
        <v>34</v>
      </c>
      <c r="AB23" s="27">
        <v>18</v>
      </c>
      <c r="AC23" s="27">
        <f t="shared" si="6"/>
        <v>52</v>
      </c>
      <c r="AD23" s="27">
        <v>38</v>
      </c>
      <c r="AE23" s="27">
        <v>29</v>
      </c>
      <c r="AF23" s="27">
        <f t="shared" si="7"/>
        <v>67</v>
      </c>
      <c r="AG23" s="27">
        <f t="shared" si="15"/>
        <v>116</v>
      </c>
      <c r="AH23" s="27">
        <f t="shared" si="15"/>
        <v>77</v>
      </c>
      <c r="AI23" s="27">
        <f t="shared" si="16"/>
        <v>193</v>
      </c>
      <c r="AJ23" s="27">
        <f t="shared" si="17"/>
        <v>408</v>
      </c>
      <c r="AK23" s="27">
        <f t="shared" si="17"/>
        <v>321</v>
      </c>
      <c r="AL23" s="27">
        <f t="shared" si="18"/>
        <v>729</v>
      </c>
      <c r="AM23" s="27">
        <v>30</v>
      </c>
      <c r="AN23" s="27">
        <v>29</v>
      </c>
      <c r="AO23" s="27">
        <f t="shared" si="8"/>
        <v>59</v>
      </c>
      <c r="AP23" s="27">
        <v>32</v>
      </c>
      <c r="AQ23" s="27">
        <v>19</v>
      </c>
      <c r="AR23" s="27">
        <f t="shared" si="9"/>
        <v>51</v>
      </c>
      <c r="AS23" s="27">
        <f t="shared" si="19"/>
        <v>62</v>
      </c>
      <c r="AT23" s="27">
        <f t="shared" si="19"/>
        <v>48</v>
      </c>
      <c r="AU23" s="27">
        <f t="shared" si="20"/>
        <v>110</v>
      </c>
      <c r="AV23" s="27">
        <f t="shared" si="21"/>
        <v>470</v>
      </c>
      <c r="AW23" s="27">
        <f t="shared" si="21"/>
        <v>369</v>
      </c>
      <c r="AX23" s="27">
        <f t="shared" si="25"/>
        <v>839</v>
      </c>
      <c r="AY23" s="27">
        <v>18</v>
      </c>
      <c r="AZ23" s="27">
        <v>19</v>
      </c>
      <c r="BA23" s="27">
        <f t="shared" si="26"/>
        <v>37</v>
      </c>
      <c r="BB23" s="27">
        <v>30</v>
      </c>
      <c r="BC23" s="27">
        <v>5</v>
      </c>
      <c r="BD23" s="27">
        <f t="shared" si="10"/>
        <v>35</v>
      </c>
      <c r="BE23" s="27">
        <f t="shared" si="27"/>
        <v>48</v>
      </c>
      <c r="BF23" s="27">
        <f t="shared" si="27"/>
        <v>24</v>
      </c>
      <c r="BG23" s="27">
        <f t="shared" si="28"/>
        <v>72</v>
      </c>
      <c r="BH23" s="27">
        <f t="shared" si="11"/>
        <v>518</v>
      </c>
      <c r="BI23" s="27">
        <f t="shared" si="11"/>
        <v>393</v>
      </c>
      <c r="BJ23" s="27">
        <f t="shared" si="22"/>
        <v>911</v>
      </c>
      <c r="BK23" s="27">
        <f t="shared" si="23"/>
        <v>622</v>
      </c>
      <c r="BL23" s="27">
        <f t="shared" si="23"/>
        <v>481</v>
      </c>
      <c r="BM23" s="27">
        <f t="shared" si="24"/>
        <v>1103</v>
      </c>
    </row>
    <row r="24" spans="1:65" s="24" customFormat="1" ht="18.75" customHeight="1">
      <c r="A24" s="25">
        <v>19</v>
      </c>
      <c r="B24" s="26" t="s">
        <v>54</v>
      </c>
      <c r="C24" s="27">
        <v>0</v>
      </c>
      <c r="D24" s="27">
        <v>0</v>
      </c>
      <c r="E24" s="27">
        <f t="shared" si="0"/>
        <v>0</v>
      </c>
      <c r="F24" s="27">
        <v>0</v>
      </c>
      <c r="G24" s="27">
        <v>0</v>
      </c>
      <c r="H24" s="27">
        <f t="shared" si="12"/>
        <v>0</v>
      </c>
      <c r="I24" s="27">
        <v>0</v>
      </c>
      <c r="J24" s="27">
        <v>0</v>
      </c>
      <c r="K24" s="27">
        <f t="shared" si="1"/>
        <v>0</v>
      </c>
      <c r="L24" s="27">
        <v>0</v>
      </c>
      <c r="M24" s="27">
        <v>0</v>
      </c>
      <c r="N24" s="27">
        <f t="shared" si="2"/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f t="shared" si="4"/>
        <v>0</v>
      </c>
      <c r="U24" s="27">
        <f t="shared" si="13"/>
        <v>0</v>
      </c>
      <c r="V24" s="27">
        <f t="shared" si="13"/>
        <v>0</v>
      </c>
      <c r="W24" s="27">
        <f t="shared" si="14"/>
        <v>0</v>
      </c>
      <c r="X24" s="27">
        <v>0</v>
      </c>
      <c r="Y24" s="27">
        <v>0</v>
      </c>
      <c r="Z24" s="27">
        <f t="shared" si="5"/>
        <v>0</v>
      </c>
      <c r="AA24" s="27">
        <v>0</v>
      </c>
      <c r="AB24" s="27">
        <v>0</v>
      </c>
      <c r="AC24" s="27">
        <f t="shared" si="6"/>
        <v>0</v>
      </c>
      <c r="AD24" s="27">
        <v>0</v>
      </c>
      <c r="AE24" s="27">
        <v>0</v>
      </c>
      <c r="AF24" s="27">
        <f t="shared" si="7"/>
        <v>0</v>
      </c>
      <c r="AG24" s="27">
        <f t="shared" si="15"/>
        <v>0</v>
      </c>
      <c r="AH24" s="27">
        <f t="shared" si="15"/>
        <v>0</v>
      </c>
      <c r="AI24" s="27">
        <f t="shared" si="16"/>
        <v>0</v>
      </c>
      <c r="AJ24" s="27">
        <f t="shared" si="17"/>
        <v>0</v>
      </c>
      <c r="AK24" s="27">
        <f t="shared" si="17"/>
        <v>0</v>
      </c>
      <c r="AL24" s="27">
        <f t="shared" si="18"/>
        <v>0</v>
      </c>
      <c r="AM24" s="27">
        <v>0</v>
      </c>
      <c r="AN24" s="27">
        <v>0</v>
      </c>
      <c r="AO24" s="27">
        <f t="shared" si="8"/>
        <v>0</v>
      </c>
      <c r="AP24" s="27">
        <v>0</v>
      </c>
      <c r="AQ24" s="27">
        <v>0</v>
      </c>
      <c r="AR24" s="27">
        <f t="shared" si="9"/>
        <v>0</v>
      </c>
      <c r="AS24" s="27">
        <f t="shared" si="19"/>
        <v>0</v>
      </c>
      <c r="AT24" s="27">
        <f t="shared" si="19"/>
        <v>0</v>
      </c>
      <c r="AU24" s="27">
        <f t="shared" si="20"/>
        <v>0</v>
      </c>
      <c r="AV24" s="27">
        <f t="shared" si="21"/>
        <v>0</v>
      </c>
      <c r="AW24" s="27">
        <f t="shared" si="21"/>
        <v>0</v>
      </c>
      <c r="AX24" s="27">
        <f t="shared" si="25"/>
        <v>0</v>
      </c>
      <c r="AY24" s="27">
        <v>0</v>
      </c>
      <c r="AZ24" s="27">
        <v>0</v>
      </c>
      <c r="BA24" s="27">
        <f t="shared" si="26"/>
        <v>0</v>
      </c>
      <c r="BB24" s="27">
        <v>0</v>
      </c>
      <c r="BC24" s="27">
        <v>0</v>
      </c>
      <c r="BD24" s="27">
        <f t="shared" si="10"/>
        <v>0</v>
      </c>
      <c r="BE24" s="27">
        <f t="shared" si="27"/>
        <v>0</v>
      </c>
      <c r="BF24" s="27">
        <f t="shared" si="27"/>
        <v>0</v>
      </c>
      <c r="BG24" s="27">
        <f t="shared" si="28"/>
        <v>0</v>
      </c>
      <c r="BH24" s="27">
        <f t="shared" si="11"/>
        <v>0</v>
      </c>
      <c r="BI24" s="27">
        <f t="shared" si="11"/>
        <v>0</v>
      </c>
      <c r="BJ24" s="27">
        <f t="shared" si="22"/>
        <v>0</v>
      </c>
      <c r="BK24" s="27">
        <f t="shared" si="23"/>
        <v>0</v>
      </c>
      <c r="BL24" s="27">
        <f t="shared" si="23"/>
        <v>0</v>
      </c>
      <c r="BM24" s="27">
        <f t="shared" si="24"/>
        <v>0</v>
      </c>
    </row>
    <row r="25" spans="1:65" ht="18.75" customHeight="1">
      <c r="A25" s="25">
        <v>20</v>
      </c>
      <c r="B25" s="2" t="s">
        <v>55</v>
      </c>
      <c r="C25" s="27">
        <v>0</v>
      </c>
      <c r="D25" s="27">
        <v>0</v>
      </c>
      <c r="E25" s="27">
        <f t="shared" si="0"/>
        <v>0</v>
      </c>
      <c r="F25" s="27">
        <v>89537</v>
      </c>
      <c r="G25" s="27">
        <v>85092</v>
      </c>
      <c r="H25" s="27">
        <f t="shared" si="12"/>
        <v>174629</v>
      </c>
      <c r="I25" s="27">
        <v>89684</v>
      </c>
      <c r="J25" s="27">
        <v>85437</v>
      </c>
      <c r="K25" s="27">
        <f t="shared" si="1"/>
        <v>175121</v>
      </c>
      <c r="L25" s="27">
        <v>84661</v>
      </c>
      <c r="M25" s="27">
        <v>80612</v>
      </c>
      <c r="N25" s="27">
        <f t="shared" si="2"/>
        <v>165273</v>
      </c>
      <c r="O25" s="27">
        <v>83099</v>
      </c>
      <c r="P25" s="27">
        <v>80205</v>
      </c>
      <c r="Q25" s="27">
        <f t="shared" si="3"/>
        <v>163304</v>
      </c>
      <c r="R25" s="27">
        <v>81152</v>
      </c>
      <c r="S25" s="27">
        <v>78158</v>
      </c>
      <c r="T25" s="27">
        <f t="shared" si="4"/>
        <v>159310</v>
      </c>
      <c r="U25" s="27">
        <f t="shared" si="13"/>
        <v>428133</v>
      </c>
      <c r="V25" s="27">
        <f t="shared" si="13"/>
        <v>409504</v>
      </c>
      <c r="W25" s="27">
        <f t="shared" si="14"/>
        <v>837637</v>
      </c>
      <c r="X25" s="27">
        <v>71420</v>
      </c>
      <c r="Y25" s="27">
        <v>69557</v>
      </c>
      <c r="Z25" s="27">
        <f t="shared" si="5"/>
        <v>140977</v>
      </c>
      <c r="AA25" s="27">
        <v>62597</v>
      </c>
      <c r="AB25" s="27">
        <v>65691</v>
      </c>
      <c r="AC25" s="27">
        <f t="shared" si="6"/>
        <v>128288</v>
      </c>
      <c r="AD25" s="27">
        <v>52248</v>
      </c>
      <c r="AE25" s="27">
        <v>47844</v>
      </c>
      <c r="AF25" s="27">
        <f t="shared" si="7"/>
        <v>100092</v>
      </c>
      <c r="AG25" s="27">
        <f t="shared" si="15"/>
        <v>186265</v>
      </c>
      <c r="AH25" s="27">
        <f t="shared" si="15"/>
        <v>183092</v>
      </c>
      <c r="AI25" s="27">
        <f t="shared" si="16"/>
        <v>369357</v>
      </c>
      <c r="AJ25" s="27">
        <f t="shared" si="17"/>
        <v>614398</v>
      </c>
      <c r="AK25" s="27">
        <f t="shared" si="17"/>
        <v>592596</v>
      </c>
      <c r="AL25" s="27">
        <f t="shared" si="18"/>
        <v>1206994</v>
      </c>
      <c r="AM25" s="27">
        <v>52267</v>
      </c>
      <c r="AN25" s="27">
        <v>47466</v>
      </c>
      <c r="AO25" s="27">
        <f t="shared" si="8"/>
        <v>99733</v>
      </c>
      <c r="AP25" s="27">
        <v>41004</v>
      </c>
      <c r="AQ25" s="27">
        <v>39897</v>
      </c>
      <c r="AR25" s="27">
        <f t="shared" si="9"/>
        <v>80901</v>
      </c>
      <c r="AS25" s="27">
        <f t="shared" si="19"/>
        <v>93271</v>
      </c>
      <c r="AT25" s="27">
        <f t="shared" si="19"/>
        <v>87363</v>
      </c>
      <c r="AU25" s="27">
        <f t="shared" si="20"/>
        <v>180634</v>
      </c>
      <c r="AV25" s="27">
        <f t="shared" si="21"/>
        <v>707669</v>
      </c>
      <c r="AW25" s="27">
        <f t="shared" si="21"/>
        <v>679959</v>
      </c>
      <c r="AX25" s="27">
        <f t="shared" si="25"/>
        <v>1387628</v>
      </c>
      <c r="AY25" s="27">
        <v>16590</v>
      </c>
      <c r="AZ25" s="27">
        <v>11079</v>
      </c>
      <c r="BA25" s="27">
        <f t="shared" si="26"/>
        <v>27669</v>
      </c>
      <c r="BB25" s="27">
        <v>16300</v>
      </c>
      <c r="BC25" s="27">
        <v>10847</v>
      </c>
      <c r="BD25" s="27">
        <f t="shared" si="10"/>
        <v>27147</v>
      </c>
      <c r="BE25" s="27">
        <f t="shared" si="27"/>
        <v>32890</v>
      </c>
      <c r="BF25" s="27">
        <f t="shared" si="27"/>
        <v>21926</v>
      </c>
      <c r="BG25" s="27">
        <f t="shared" si="28"/>
        <v>54816</v>
      </c>
      <c r="BH25" s="27">
        <f t="shared" si="11"/>
        <v>740559</v>
      </c>
      <c r="BI25" s="27">
        <f t="shared" si="11"/>
        <v>701885</v>
      </c>
      <c r="BJ25" s="27">
        <f t="shared" si="22"/>
        <v>1442444</v>
      </c>
      <c r="BK25" s="27">
        <f t="shared" si="23"/>
        <v>740559</v>
      </c>
      <c r="BL25" s="27">
        <f t="shared" si="23"/>
        <v>701885</v>
      </c>
      <c r="BM25" s="27">
        <f t="shared" si="24"/>
        <v>1442444</v>
      </c>
    </row>
    <row r="26" spans="1:65" ht="18.75" customHeight="1">
      <c r="A26" s="25">
        <v>21</v>
      </c>
      <c r="B26" s="26" t="s">
        <v>74</v>
      </c>
      <c r="C26" s="27"/>
      <c r="D26" s="27"/>
      <c r="E26" s="27">
        <f t="shared" si="0"/>
        <v>0</v>
      </c>
      <c r="F26" s="27">
        <v>109399</v>
      </c>
      <c r="G26" s="27">
        <v>96211</v>
      </c>
      <c r="H26" s="27">
        <f t="shared" si="12"/>
        <v>205610</v>
      </c>
      <c r="I26" s="27">
        <v>118575</v>
      </c>
      <c r="J26" s="27">
        <v>103528</v>
      </c>
      <c r="K26" s="27">
        <f t="shared" si="1"/>
        <v>222103</v>
      </c>
      <c r="L26" s="27">
        <v>109042</v>
      </c>
      <c r="M26" s="27">
        <v>95514</v>
      </c>
      <c r="N26" s="27">
        <f t="shared" si="2"/>
        <v>204556</v>
      </c>
      <c r="O26" s="27">
        <v>102989</v>
      </c>
      <c r="P26" s="27">
        <v>88319</v>
      </c>
      <c r="Q26" s="27">
        <f t="shared" si="3"/>
        <v>191308</v>
      </c>
      <c r="R26" s="27">
        <v>99568</v>
      </c>
      <c r="S26" s="27">
        <v>85195</v>
      </c>
      <c r="T26" s="27">
        <f t="shared" si="4"/>
        <v>184763</v>
      </c>
      <c r="U26" s="27">
        <f t="shared" si="13"/>
        <v>539573</v>
      </c>
      <c r="V26" s="27">
        <f t="shared" si="13"/>
        <v>468767</v>
      </c>
      <c r="W26" s="27">
        <f t="shared" si="14"/>
        <v>1008340</v>
      </c>
      <c r="X26" s="27">
        <v>94720</v>
      </c>
      <c r="Y26" s="27">
        <v>81679</v>
      </c>
      <c r="Z26" s="27">
        <f t="shared" si="5"/>
        <v>176399</v>
      </c>
      <c r="AA26" s="27">
        <v>101880</v>
      </c>
      <c r="AB26" s="27">
        <v>84811</v>
      </c>
      <c r="AC26" s="27">
        <f t="shared" si="6"/>
        <v>186691</v>
      </c>
      <c r="AD26" s="27">
        <v>81409</v>
      </c>
      <c r="AE26" s="27">
        <v>70709</v>
      </c>
      <c r="AF26" s="27">
        <f t="shared" si="7"/>
        <v>152118</v>
      </c>
      <c r="AG26" s="27">
        <f t="shared" si="15"/>
        <v>278009</v>
      </c>
      <c r="AH26" s="27">
        <f t="shared" si="15"/>
        <v>237199</v>
      </c>
      <c r="AI26" s="27">
        <f t="shared" si="16"/>
        <v>515208</v>
      </c>
      <c r="AJ26" s="27">
        <f t="shared" si="17"/>
        <v>817582</v>
      </c>
      <c r="AK26" s="27">
        <f t="shared" si="17"/>
        <v>705966</v>
      </c>
      <c r="AL26" s="27">
        <f t="shared" si="18"/>
        <v>1523548</v>
      </c>
      <c r="AM26" s="27">
        <v>81928</v>
      </c>
      <c r="AN26" s="27">
        <v>72144</v>
      </c>
      <c r="AO26" s="27">
        <f t="shared" si="8"/>
        <v>154072</v>
      </c>
      <c r="AP26" s="27">
        <v>61252</v>
      </c>
      <c r="AQ26" s="27">
        <v>57687</v>
      </c>
      <c r="AR26" s="27">
        <f t="shared" si="9"/>
        <v>118939</v>
      </c>
      <c r="AS26" s="27">
        <f t="shared" si="19"/>
        <v>143180</v>
      </c>
      <c r="AT26" s="27">
        <f t="shared" si="19"/>
        <v>129831</v>
      </c>
      <c r="AU26" s="27">
        <f t="shared" si="20"/>
        <v>273011</v>
      </c>
      <c r="AV26" s="27">
        <f t="shared" si="21"/>
        <v>960762</v>
      </c>
      <c r="AW26" s="27">
        <f t="shared" si="21"/>
        <v>835797</v>
      </c>
      <c r="AX26" s="27">
        <f t="shared" si="25"/>
        <v>1796559</v>
      </c>
      <c r="AY26" s="27">
        <v>41423</v>
      </c>
      <c r="AZ26" s="27">
        <v>38708</v>
      </c>
      <c r="BA26" s="27">
        <f t="shared" si="26"/>
        <v>80131</v>
      </c>
      <c r="BB26" s="27">
        <v>30671</v>
      </c>
      <c r="BC26" s="27">
        <v>30447</v>
      </c>
      <c r="BD26" s="27">
        <f t="shared" si="10"/>
        <v>61118</v>
      </c>
      <c r="BE26" s="27">
        <f t="shared" si="27"/>
        <v>72094</v>
      </c>
      <c r="BF26" s="27">
        <f t="shared" si="27"/>
        <v>69155</v>
      </c>
      <c r="BG26" s="27">
        <f t="shared" si="28"/>
        <v>141249</v>
      </c>
      <c r="BH26" s="27">
        <f t="shared" si="11"/>
        <v>1032856</v>
      </c>
      <c r="BI26" s="27">
        <f t="shared" si="11"/>
        <v>904952</v>
      </c>
      <c r="BJ26" s="27">
        <f t="shared" si="22"/>
        <v>1937808</v>
      </c>
      <c r="BK26" s="27">
        <f t="shared" si="23"/>
        <v>1032856</v>
      </c>
      <c r="BL26" s="27">
        <f t="shared" si="23"/>
        <v>904952</v>
      </c>
      <c r="BM26" s="27">
        <f t="shared" si="24"/>
        <v>1937808</v>
      </c>
    </row>
    <row r="27" spans="1:65" ht="18.75" customHeight="1">
      <c r="A27" s="25">
        <v>22</v>
      </c>
      <c r="B27" s="26" t="s">
        <v>32</v>
      </c>
      <c r="C27" s="27">
        <v>54782</v>
      </c>
      <c r="D27" s="27">
        <v>39119</v>
      </c>
      <c r="E27" s="27">
        <f t="shared" si="0"/>
        <v>93901</v>
      </c>
      <c r="F27" s="27">
        <v>221414</v>
      </c>
      <c r="G27" s="27">
        <v>195043</v>
      </c>
      <c r="H27" s="27">
        <f t="shared" si="12"/>
        <v>416457</v>
      </c>
      <c r="I27" s="27">
        <v>222347</v>
      </c>
      <c r="J27" s="27">
        <v>202237</v>
      </c>
      <c r="K27" s="27">
        <f t="shared" si="1"/>
        <v>424584</v>
      </c>
      <c r="L27" s="27">
        <v>189494</v>
      </c>
      <c r="M27" s="27">
        <v>169842</v>
      </c>
      <c r="N27" s="27">
        <f t="shared" si="2"/>
        <v>359336</v>
      </c>
      <c r="O27" s="27">
        <v>168352</v>
      </c>
      <c r="P27" s="27">
        <v>146134</v>
      </c>
      <c r="Q27" s="27">
        <f t="shared" si="3"/>
        <v>314486</v>
      </c>
      <c r="R27" s="27">
        <v>157356</v>
      </c>
      <c r="S27" s="27">
        <v>135786</v>
      </c>
      <c r="T27" s="27">
        <f t="shared" si="4"/>
        <v>293142</v>
      </c>
      <c r="U27" s="27">
        <f t="shared" si="13"/>
        <v>958963</v>
      </c>
      <c r="V27" s="27">
        <f t="shared" si="13"/>
        <v>849042</v>
      </c>
      <c r="W27" s="27">
        <f t="shared" si="14"/>
        <v>1808005</v>
      </c>
      <c r="X27" s="27">
        <v>140406</v>
      </c>
      <c r="Y27" s="27">
        <v>116094</v>
      </c>
      <c r="Z27" s="27">
        <f t="shared" si="5"/>
        <v>256500</v>
      </c>
      <c r="AA27" s="27">
        <v>137525</v>
      </c>
      <c r="AB27" s="27">
        <v>111129</v>
      </c>
      <c r="AC27" s="27">
        <f t="shared" si="6"/>
        <v>248654</v>
      </c>
      <c r="AD27" s="27">
        <v>126089</v>
      </c>
      <c r="AE27" s="27">
        <v>101558</v>
      </c>
      <c r="AF27" s="27">
        <f t="shared" si="7"/>
        <v>227647</v>
      </c>
      <c r="AG27" s="27">
        <f t="shared" si="15"/>
        <v>404020</v>
      </c>
      <c r="AH27" s="27">
        <f t="shared" si="15"/>
        <v>328781</v>
      </c>
      <c r="AI27" s="27">
        <f t="shared" si="16"/>
        <v>732801</v>
      </c>
      <c r="AJ27" s="27">
        <f t="shared" si="17"/>
        <v>1362983</v>
      </c>
      <c r="AK27" s="27">
        <f t="shared" si="17"/>
        <v>1177823</v>
      </c>
      <c r="AL27" s="27">
        <f t="shared" si="18"/>
        <v>2540806</v>
      </c>
      <c r="AM27" s="27">
        <v>118870</v>
      </c>
      <c r="AN27" s="27">
        <v>76490</v>
      </c>
      <c r="AO27" s="27">
        <f t="shared" si="8"/>
        <v>195360</v>
      </c>
      <c r="AP27" s="27">
        <v>99457</v>
      </c>
      <c r="AQ27" s="27">
        <v>60683</v>
      </c>
      <c r="AR27" s="27">
        <f t="shared" si="9"/>
        <v>160140</v>
      </c>
      <c r="AS27" s="27">
        <f t="shared" si="19"/>
        <v>218327</v>
      </c>
      <c r="AT27" s="27">
        <f t="shared" si="19"/>
        <v>137173</v>
      </c>
      <c r="AU27" s="27">
        <f t="shared" si="20"/>
        <v>355500</v>
      </c>
      <c r="AV27" s="27">
        <f t="shared" si="21"/>
        <v>1581310</v>
      </c>
      <c r="AW27" s="27">
        <f t="shared" si="21"/>
        <v>1314996</v>
      </c>
      <c r="AX27" s="27">
        <f t="shared" si="25"/>
        <v>2896306</v>
      </c>
      <c r="AY27" s="27">
        <v>66707</v>
      </c>
      <c r="AZ27" s="27">
        <v>36719</v>
      </c>
      <c r="BA27" s="27">
        <f t="shared" si="26"/>
        <v>103426</v>
      </c>
      <c r="BB27" s="27">
        <v>63065</v>
      </c>
      <c r="BC27" s="27">
        <v>33419</v>
      </c>
      <c r="BD27" s="27">
        <f t="shared" si="10"/>
        <v>96484</v>
      </c>
      <c r="BE27" s="27">
        <f t="shared" si="27"/>
        <v>129772</v>
      </c>
      <c r="BF27" s="27">
        <f t="shared" si="27"/>
        <v>70138</v>
      </c>
      <c r="BG27" s="27">
        <f t="shared" si="28"/>
        <v>199910</v>
      </c>
      <c r="BH27" s="27">
        <f t="shared" si="11"/>
        <v>1711082</v>
      </c>
      <c r="BI27" s="27">
        <f t="shared" si="11"/>
        <v>1385134</v>
      </c>
      <c r="BJ27" s="27">
        <f t="shared" si="22"/>
        <v>3096216</v>
      </c>
      <c r="BK27" s="27">
        <f t="shared" si="23"/>
        <v>1765864</v>
      </c>
      <c r="BL27" s="27">
        <f t="shared" si="23"/>
        <v>1424253</v>
      </c>
      <c r="BM27" s="27">
        <f t="shared" si="24"/>
        <v>3190117</v>
      </c>
    </row>
    <row r="28" spans="1:65" ht="18.75" customHeight="1">
      <c r="A28" s="25">
        <v>23</v>
      </c>
      <c r="B28" s="26" t="s">
        <v>33</v>
      </c>
      <c r="C28" s="27">
        <v>0</v>
      </c>
      <c r="D28" s="27">
        <v>0</v>
      </c>
      <c r="E28" s="27">
        <f t="shared" si="0"/>
        <v>0</v>
      </c>
      <c r="F28" s="27">
        <v>637</v>
      </c>
      <c r="G28" s="27">
        <v>551</v>
      </c>
      <c r="H28" s="27">
        <f t="shared" si="12"/>
        <v>1188</v>
      </c>
      <c r="I28" s="27">
        <v>779</v>
      </c>
      <c r="J28" s="27">
        <v>753</v>
      </c>
      <c r="K28" s="27">
        <f t="shared" si="1"/>
        <v>1532</v>
      </c>
      <c r="L28" s="27">
        <v>637</v>
      </c>
      <c r="M28" s="27">
        <v>580</v>
      </c>
      <c r="N28" s="27">
        <f t="shared" si="2"/>
        <v>1217</v>
      </c>
      <c r="O28" s="27">
        <v>636</v>
      </c>
      <c r="P28" s="27">
        <v>573</v>
      </c>
      <c r="Q28" s="27">
        <f t="shared" si="3"/>
        <v>1209</v>
      </c>
      <c r="R28" s="27">
        <v>548</v>
      </c>
      <c r="S28" s="27">
        <v>537</v>
      </c>
      <c r="T28" s="27">
        <f t="shared" si="4"/>
        <v>1085</v>
      </c>
      <c r="U28" s="27">
        <f t="shared" si="13"/>
        <v>3237</v>
      </c>
      <c r="V28" s="27">
        <f t="shared" si="13"/>
        <v>2994</v>
      </c>
      <c r="W28" s="27">
        <f t="shared" si="14"/>
        <v>6231</v>
      </c>
      <c r="X28" s="27">
        <v>506</v>
      </c>
      <c r="Y28" s="27">
        <v>500</v>
      </c>
      <c r="Z28" s="27">
        <f t="shared" si="5"/>
        <v>1006</v>
      </c>
      <c r="AA28" s="27">
        <v>353</v>
      </c>
      <c r="AB28" s="27">
        <v>422</v>
      </c>
      <c r="AC28" s="27">
        <f t="shared" si="6"/>
        <v>775</v>
      </c>
      <c r="AD28" s="27">
        <v>270</v>
      </c>
      <c r="AE28" s="27">
        <v>360</v>
      </c>
      <c r="AF28" s="27">
        <f t="shared" si="7"/>
        <v>630</v>
      </c>
      <c r="AG28" s="27">
        <f t="shared" si="15"/>
        <v>1129</v>
      </c>
      <c r="AH28" s="27">
        <f t="shared" si="15"/>
        <v>1282</v>
      </c>
      <c r="AI28" s="27">
        <f t="shared" si="16"/>
        <v>2411</v>
      </c>
      <c r="AJ28" s="27">
        <f t="shared" si="17"/>
        <v>4366</v>
      </c>
      <c r="AK28" s="27">
        <f t="shared" si="17"/>
        <v>4276</v>
      </c>
      <c r="AL28" s="27">
        <f t="shared" si="18"/>
        <v>8642</v>
      </c>
      <c r="AM28" s="27">
        <v>252</v>
      </c>
      <c r="AN28" s="27">
        <v>277</v>
      </c>
      <c r="AO28" s="27">
        <f t="shared" si="8"/>
        <v>529</v>
      </c>
      <c r="AP28" s="27">
        <v>195</v>
      </c>
      <c r="AQ28" s="27">
        <v>195</v>
      </c>
      <c r="AR28" s="27">
        <f t="shared" si="9"/>
        <v>390</v>
      </c>
      <c r="AS28" s="27">
        <f t="shared" si="19"/>
        <v>447</v>
      </c>
      <c r="AT28" s="27">
        <f t="shared" si="19"/>
        <v>472</v>
      </c>
      <c r="AU28" s="27">
        <f t="shared" si="20"/>
        <v>919</v>
      </c>
      <c r="AV28" s="27">
        <f t="shared" si="21"/>
        <v>4813</v>
      </c>
      <c r="AW28" s="27">
        <f t="shared" si="21"/>
        <v>4748</v>
      </c>
      <c r="AX28" s="27">
        <f t="shared" si="25"/>
        <v>9561</v>
      </c>
      <c r="AY28" s="27">
        <v>140</v>
      </c>
      <c r="AZ28" s="27">
        <v>128</v>
      </c>
      <c r="BA28" s="27">
        <f t="shared" si="26"/>
        <v>268</v>
      </c>
      <c r="BB28" s="27">
        <v>91</v>
      </c>
      <c r="BC28" s="27">
        <v>117</v>
      </c>
      <c r="BD28" s="27">
        <f t="shared" si="10"/>
        <v>208</v>
      </c>
      <c r="BE28" s="27">
        <f t="shared" si="27"/>
        <v>231</v>
      </c>
      <c r="BF28" s="27">
        <f t="shared" si="27"/>
        <v>245</v>
      </c>
      <c r="BG28" s="27">
        <f t="shared" si="28"/>
        <v>476</v>
      </c>
      <c r="BH28" s="27">
        <f t="shared" si="11"/>
        <v>5044</v>
      </c>
      <c r="BI28" s="27">
        <f t="shared" si="11"/>
        <v>4993</v>
      </c>
      <c r="BJ28" s="27">
        <f t="shared" si="22"/>
        <v>10037</v>
      </c>
      <c r="BK28" s="27">
        <f t="shared" si="23"/>
        <v>5044</v>
      </c>
      <c r="BL28" s="27">
        <f t="shared" si="23"/>
        <v>4993</v>
      </c>
      <c r="BM28" s="27">
        <f t="shared" si="24"/>
        <v>10037</v>
      </c>
    </row>
    <row r="29" spans="1:65" ht="18.75" customHeight="1">
      <c r="A29" s="25">
        <v>24</v>
      </c>
      <c r="B29" s="26" t="s">
        <v>34</v>
      </c>
      <c r="C29" s="27">
        <f>24220+105159</f>
        <v>129379</v>
      </c>
      <c r="D29" s="27">
        <f>18043+87813</f>
        <v>105856</v>
      </c>
      <c r="E29" s="27">
        <f t="shared" si="0"/>
        <v>235235</v>
      </c>
      <c r="F29" s="27">
        <f>147126+13599</f>
        <v>160725</v>
      </c>
      <c r="G29" s="27">
        <f>140836+14278</f>
        <v>155114</v>
      </c>
      <c r="H29" s="27">
        <f t="shared" si="12"/>
        <v>315839</v>
      </c>
      <c r="I29" s="27">
        <f>146338+15435</f>
        <v>161773</v>
      </c>
      <c r="J29" s="27">
        <f>141359+17915</f>
        <v>159274</v>
      </c>
      <c r="K29" s="27">
        <f t="shared" si="1"/>
        <v>321047</v>
      </c>
      <c r="L29" s="27">
        <f>150112+20497</f>
        <v>170609</v>
      </c>
      <c r="M29" s="27">
        <f>144639+21831</f>
        <v>166470</v>
      </c>
      <c r="N29" s="27">
        <f t="shared" si="2"/>
        <v>337079</v>
      </c>
      <c r="O29" s="27">
        <f>154375+21373</f>
        <v>175748</v>
      </c>
      <c r="P29" s="27">
        <f>148293+103736</f>
        <v>252029</v>
      </c>
      <c r="Q29" s="27">
        <f t="shared" si="3"/>
        <v>427777</v>
      </c>
      <c r="R29" s="27">
        <f>159588+26652</f>
        <v>186240</v>
      </c>
      <c r="S29" s="27">
        <f>151752+25271</f>
        <v>177023</v>
      </c>
      <c r="T29" s="27">
        <f t="shared" si="4"/>
        <v>363263</v>
      </c>
      <c r="U29" s="27">
        <f t="shared" si="13"/>
        <v>855095</v>
      </c>
      <c r="V29" s="27">
        <f t="shared" si="13"/>
        <v>909910</v>
      </c>
      <c r="W29" s="27">
        <f t="shared" si="14"/>
        <v>1765005</v>
      </c>
      <c r="X29" s="27">
        <f>158484+11370</f>
        <v>169854</v>
      </c>
      <c r="Y29" s="27">
        <f>151972+11387</f>
        <v>163359</v>
      </c>
      <c r="Z29" s="27">
        <f t="shared" si="5"/>
        <v>333213</v>
      </c>
      <c r="AA29" s="27">
        <f>152496+7949</f>
        <v>160445</v>
      </c>
      <c r="AB29" s="27">
        <f>144002+7614</f>
        <v>151616</v>
      </c>
      <c r="AC29" s="27">
        <f t="shared" si="6"/>
        <v>312061</v>
      </c>
      <c r="AD29" s="27">
        <f>153650+1699</f>
        <v>155349</v>
      </c>
      <c r="AE29" s="27">
        <f>146152+17499</f>
        <v>163651</v>
      </c>
      <c r="AF29" s="27">
        <f t="shared" si="7"/>
        <v>319000</v>
      </c>
      <c r="AG29" s="27">
        <f t="shared" si="15"/>
        <v>485648</v>
      </c>
      <c r="AH29" s="27">
        <f t="shared" si="15"/>
        <v>478626</v>
      </c>
      <c r="AI29" s="27">
        <f t="shared" si="16"/>
        <v>964274</v>
      </c>
      <c r="AJ29" s="27">
        <f t="shared" si="17"/>
        <v>1340743</v>
      </c>
      <c r="AK29" s="27">
        <f t="shared" si="17"/>
        <v>1388536</v>
      </c>
      <c r="AL29" s="27">
        <f t="shared" si="18"/>
        <v>2729279</v>
      </c>
      <c r="AM29" s="27">
        <v>144578</v>
      </c>
      <c r="AN29" s="27">
        <v>136223</v>
      </c>
      <c r="AO29" s="27">
        <f t="shared" si="8"/>
        <v>280801</v>
      </c>
      <c r="AP29" s="27">
        <v>106354</v>
      </c>
      <c r="AQ29" s="27">
        <v>110797</v>
      </c>
      <c r="AR29" s="27">
        <f t="shared" si="9"/>
        <v>217151</v>
      </c>
      <c r="AS29" s="27">
        <f t="shared" si="19"/>
        <v>250932</v>
      </c>
      <c r="AT29" s="27">
        <f t="shared" si="19"/>
        <v>247020</v>
      </c>
      <c r="AU29" s="27">
        <f t="shared" si="20"/>
        <v>497952</v>
      </c>
      <c r="AV29" s="27">
        <f t="shared" si="21"/>
        <v>1591675</v>
      </c>
      <c r="AW29" s="27">
        <f t="shared" si="21"/>
        <v>1635556</v>
      </c>
      <c r="AX29" s="27">
        <f t="shared" si="25"/>
        <v>3227231</v>
      </c>
      <c r="AY29" s="27">
        <v>61387</v>
      </c>
      <c r="AZ29" s="27">
        <v>72468</v>
      </c>
      <c r="BA29" s="27">
        <f t="shared" si="26"/>
        <v>133855</v>
      </c>
      <c r="BB29" s="27">
        <v>64598</v>
      </c>
      <c r="BC29" s="27">
        <v>80602</v>
      </c>
      <c r="BD29" s="27">
        <f t="shared" si="10"/>
        <v>145200</v>
      </c>
      <c r="BE29" s="27">
        <f t="shared" si="27"/>
        <v>125985</v>
      </c>
      <c r="BF29" s="27">
        <f t="shared" si="27"/>
        <v>153070</v>
      </c>
      <c r="BG29" s="27">
        <f t="shared" si="28"/>
        <v>279055</v>
      </c>
      <c r="BH29" s="27">
        <f t="shared" si="11"/>
        <v>1717660</v>
      </c>
      <c r="BI29" s="27">
        <f t="shared" si="11"/>
        <v>1788626</v>
      </c>
      <c r="BJ29" s="27">
        <f t="shared" si="22"/>
        <v>3506286</v>
      </c>
      <c r="BK29" s="27">
        <f t="shared" si="23"/>
        <v>1847039</v>
      </c>
      <c r="BL29" s="27">
        <f t="shared" si="23"/>
        <v>1894482</v>
      </c>
      <c r="BM29" s="27">
        <f t="shared" si="24"/>
        <v>3741521</v>
      </c>
    </row>
    <row r="30" spans="1:65" ht="18.75" customHeight="1">
      <c r="A30" s="25">
        <v>25</v>
      </c>
      <c r="B30" s="26" t="s">
        <v>35</v>
      </c>
      <c r="C30" s="27">
        <v>682</v>
      </c>
      <c r="D30" s="27">
        <v>515</v>
      </c>
      <c r="E30" s="27">
        <f t="shared" si="0"/>
        <v>1197</v>
      </c>
      <c r="F30" s="27">
        <v>7285</v>
      </c>
      <c r="G30" s="27">
        <v>6821</v>
      </c>
      <c r="H30" s="27">
        <f t="shared" si="12"/>
        <v>14106</v>
      </c>
      <c r="I30" s="27">
        <v>7005</v>
      </c>
      <c r="J30" s="27">
        <v>6805</v>
      </c>
      <c r="K30" s="27">
        <f t="shared" si="1"/>
        <v>13810</v>
      </c>
      <c r="L30" s="27">
        <v>7282</v>
      </c>
      <c r="M30" s="27">
        <v>6999</v>
      </c>
      <c r="N30" s="27">
        <f t="shared" si="2"/>
        <v>14281</v>
      </c>
      <c r="O30" s="27">
        <v>7292</v>
      </c>
      <c r="P30" s="27">
        <v>6999</v>
      </c>
      <c r="Q30" s="27">
        <f t="shared" si="3"/>
        <v>14291</v>
      </c>
      <c r="R30" s="27">
        <v>7439</v>
      </c>
      <c r="S30" s="27">
        <v>7189</v>
      </c>
      <c r="T30" s="27">
        <f t="shared" si="4"/>
        <v>14628</v>
      </c>
      <c r="U30" s="27">
        <f t="shared" si="13"/>
        <v>36303</v>
      </c>
      <c r="V30" s="27">
        <f t="shared" si="13"/>
        <v>34813</v>
      </c>
      <c r="W30" s="27">
        <f t="shared" si="14"/>
        <v>71116</v>
      </c>
      <c r="X30" s="27">
        <v>7479</v>
      </c>
      <c r="Y30" s="27">
        <v>7005</v>
      </c>
      <c r="Z30" s="27">
        <f t="shared" si="5"/>
        <v>14484</v>
      </c>
      <c r="AA30" s="27">
        <v>8577</v>
      </c>
      <c r="AB30" s="27">
        <v>8477</v>
      </c>
      <c r="AC30" s="27">
        <f t="shared" si="6"/>
        <v>17054</v>
      </c>
      <c r="AD30" s="27">
        <v>7369</v>
      </c>
      <c r="AE30" s="27">
        <v>7535</v>
      </c>
      <c r="AF30" s="27">
        <f t="shared" si="7"/>
        <v>14904</v>
      </c>
      <c r="AG30" s="27">
        <f t="shared" si="15"/>
        <v>23425</v>
      </c>
      <c r="AH30" s="27">
        <f t="shared" si="15"/>
        <v>23017</v>
      </c>
      <c r="AI30" s="27">
        <f t="shared" si="16"/>
        <v>46442</v>
      </c>
      <c r="AJ30" s="27">
        <f t="shared" si="17"/>
        <v>59728</v>
      </c>
      <c r="AK30" s="27">
        <f t="shared" si="17"/>
        <v>57830</v>
      </c>
      <c r="AL30" s="27">
        <f t="shared" si="18"/>
        <v>117558</v>
      </c>
      <c r="AM30" s="27">
        <v>7490</v>
      </c>
      <c r="AN30" s="27">
        <v>7624</v>
      </c>
      <c r="AO30" s="27">
        <f t="shared" si="8"/>
        <v>15114</v>
      </c>
      <c r="AP30" s="27">
        <v>5816</v>
      </c>
      <c r="AQ30" s="27">
        <v>5584</v>
      </c>
      <c r="AR30" s="27">
        <f t="shared" si="9"/>
        <v>11400</v>
      </c>
      <c r="AS30" s="27">
        <f t="shared" si="19"/>
        <v>13306</v>
      </c>
      <c r="AT30" s="27">
        <f t="shared" si="19"/>
        <v>13208</v>
      </c>
      <c r="AU30" s="27">
        <f t="shared" si="20"/>
        <v>26514</v>
      </c>
      <c r="AV30" s="27">
        <f t="shared" si="21"/>
        <v>73034</v>
      </c>
      <c r="AW30" s="27">
        <f t="shared" si="21"/>
        <v>71038</v>
      </c>
      <c r="AX30" s="27">
        <f t="shared" si="25"/>
        <v>144072</v>
      </c>
      <c r="AY30" s="27">
        <v>2956</v>
      </c>
      <c r="AZ30" s="27">
        <v>2142</v>
      </c>
      <c r="BA30" s="27">
        <f t="shared" si="26"/>
        <v>5098</v>
      </c>
      <c r="BB30" s="27">
        <v>2816</v>
      </c>
      <c r="BC30" s="27">
        <v>1879</v>
      </c>
      <c r="BD30" s="27">
        <f t="shared" si="10"/>
        <v>4695</v>
      </c>
      <c r="BE30" s="27">
        <v>7285</v>
      </c>
      <c r="BF30" s="27">
        <v>6821</v>
      </c>
      <c r="BG30" s="27">
        <f t="shared" si="28"/>
        <v>14106</v>
      </c>
      <c r="BH30" s="27">
        <f t="shared" si="11"/>
        <v>80319</v>
      </c>
      <c r="BI30" s="27">
        <f t="shared" si="11"/>
        <v>77859</v>
      </c>
      <c r="BJ30" s="27">
        <f t="shared" si="22"/>
        <v>158178</v>
      </c>
      <c r="BK30" s="27">
        <f t="shared" si="23"/>
        <v>81001</v>
      </c>
      <c r="BL30" s="27">
        <f t="shared" si="23"/>
        <v>78374</v>
      </c>
      <c r="BM30" s="27">
        <f t="shared" si="24"/>
        <v>159375</v>
      </c>
    </row>
    <row r="31" spans="1:65" ht="18.75" customHeight="1">
      <c r="A31" s="25">
        <v>26</v>
      </c>
      <c r="B31" s="26" t="s">
        <v>36</v>
      </c>
      <c r="C31" s="27"/>
      <c r="D31" s="27"/>
      <c r="E31" s="27">
        <f t="shared" si="0"/>
        <v>0</v>
      </c>
      <c r="F31" s="27">
        <v>934839</v>
      </c>
      <c r="G31" s="27">
        <v>898178</v>
      </c>
      <c r="H31" s="27">
        <f t="shared" si="12"/>
        <v>1833017</v>
      </c>
      <c r="I31" s="27">
        <v>876859</v>
      </c>
      <c r="J31" s="27">
        <v>842471</v>
      </c>
      <c r="K31" s="27">
        <f t="shared" si="1"/>
        <v>1719330</v>
      </c>
      <c r="L31" s="27">
        <v>872641</v>
      </c>
      <c r="M31" s="27">
        <v>838420</v>
      </c>
      <c r="N31" s="27">
        <f t="shared" si="2"/>
        <v>1711061</v>
      </c>
      <c r="O31" s="27">
        <v>817312</v>
      </c>
      <c r="P31" s="27">
        <v>785260</v>
      </c>
      <c r="Q31" s="27">
        <f t="shared" si="3"/>
        <v>1602572</v>
      </c>
      <c r="R31" s="27">
        <v>712458</v>
      </c>
      <c r="S31" s="27">
        <v>684518</v>
      </c>
      <c r="T31" s="27">
        <f t="shared" si="4"/>
        <v>1396976</v>
      </c>
      <c r="U31" s="27">
        <f t="shared" si="13"/>
        <v>4214109</v>
      </c>
      <c r="V31" s="27">
        <f t="shared" si="13"/>
        <v>4048847</v>
      </c>
      <c r="W31" s="27">
        <f t="shared" si="14"/>
        <v>8262956</v>
      </c>
      <c r="X31" s="27">
        <v>509684</v>
      </c>
      <c r="Y31" s="27">
        <v>493698</v>
      </c>
      <c r="Z31" s="27">
        <f t="shared" si="5"/>
        <v>1003382</v>
      </c>
      <c r="AA31" s="27">
        <v>472156</v>
      </c>
      <c r="AB31" s="27">
        <v>455868</v>
      </c>
      <c r="AC31" s="27">
        <f t="shared" si="6"/>
        <v>928024</v>
      </c>
      <c r="AD31" s="27">
        <v>466345</v>
      </c>
      <c r="AE31" s="27">
        <v>450009</v>
      </c>
      <c r="AF31" s="27">
        <f t="shared" si="7"/>
        <v>916354</v>
      </c>
      <c r="AG31" s="27">
        <f t="shared" si="15"/>
        <v>1448185</v>
      </c>
      <c r="AH31" s="27">
        <f t="shared" si="15"/>
        <v>1399575</v>
      </c>
      <c r="AI31" s="27">
        <f t="shared" si="16"/>
        <v>2847760</v>
      </c>
      <c r="AJ31" s="27">
        <f t="shared" si="17"/>
        <v>5662294</v>
      </c>
      <c r="AK31" s="27">
        <f t="shared" si="17"/>
        <v>5448422</v>
      </c>
      <c r="AL31" s="27">
        <f t="shared" si="18"/>
        <v>11110716</v>
      </c>
      <c r="AM31" s="27">
        <v>466136</v>
      </c>
      <c r="AN31" s="27">
        <v>433740</v>
      </c>
      <c r="AO31" s="27">
        <f t="shared" si="8"/>
        <v>899876</v>
      </c>
      <c r="AP31" s="27">
        <v>464479</v>
      </c>
      <c r="AQ31" s="27">
        <v>432198</v>
      </c>
      <c r="AR31" s="27">
        <f t="shared" si="9"/>
        <v>896677</v>
      </c>
      <c r="AS31" s="27">
        <f t="shared" si="19"/>
        <v>930615</v>
      </c>
      <c r="AT31" s="27">
        <f t="shared" si="19"/>
        <v>865938</v>
      </c>
      <c r="AU31" s="27">
        <f t="shared" si="20"/>
        <v>1796553</v>
      </c>
      <c r="AV31" s="27">
        <f t="shared" si="21"/>
        <v>6592909</v>
      </c>
      <c r="AW31" s="27">
        <f t="shared" si="21"/>
        <v>6314360</v>
      </c>
      <c r="AX31" s="27">
        <f t="shared" si="25"/>
        <v>12907269</v>
      </c>
      <c r="AY31" s="27">
        <v>266771</v>
      </c>
      <c r="AZ31" s="27">
        <v>248231</v>
      </c>
      <c r="BA31" s="27">
        <f t="shared" si="26"/>
        <v>515002</v>
      </c>
      <c r="BB31" s="27">
        <v>257664</v>
      </c>
      <c r="BC31" s="27">
        <v>239757</v>
      </c>
      <c r="BD31" s="27">
        <f t="shared" si="10"/>
        <v>497421</v>
      </c>
      <c r="BE31" s="27">
        <f t="shared" si="27"/>
        <v>524435</v>
      </c>
      <c r="BF31" s="27">
        <f t="shared" si="27"/>
        <v>487988</v>
      </c>
      <c r="BG31" s="27">
        <f t="shared" si="28"/>
        <v>1012423</v>
      </c>
      <c r="BH31" s="27">
        <f t="shared" si="11"/>
        <v>7117344</v>
      </c>
      <c r="BI31" s="27">
        <f t="shared" si="11"/>
        <v>6802348</v>
      </c>
      <c r="BJ31" s="27">
        <f t="shared" si="22"/>
        <v>13919692</v>
      </c>
      <c r="BK31" s="27">
        <f t="shared" si="23"/>
        <v>7117344</v>
      </c>
      <c r="BL31" s="27">
        <f t="shared" si="23"/>
        <v>6802348</v>
      </c>
      <c r="BM31" s="27">
        <f t="shared" si="24"/>
        <v>13919692</v>
      </c>
    </row>
    <row r="32" spans="1:65" ht="18.75" customHeight="1">
      <c r="A32" s="25">
        <v>27</v>
      </c>
      <c r="B32" s="26" t="s">
        <v>37</v>
      </c>
      <c r="C32" s="27"/>
      <c r="D32" s="27"/>
      <c r="E32" s="27">
        <f t="shared" si="0"/>
        <v>0</v>
      </c>
      <c r="F32" s="27">
        <v>31498</v>
      </c>
      <c r="G32" s="27">
        <v>28962</v>
      </c>
      <c r="H32" s="27">
        <f t="shared" si="12"/>
        <v>60460</v>
      </c>
      <c r="I32" s="27">
        <v>28882</v>
      </c>
      <c r="J32" s="27">
        <v>27491</v>
      </c>
      <c r="K32" s="27">
        <f t="shared" si="1"/>
        <v>56373</v>
      </c>
      <c r="L32" s="27">
        <v>27485</v>
      </c>
      <c r="M32" s="27">
        <v>26395</v>
      </c>
      <c r="N32" s="27">
        <f t="shared" si="2"/>
        <v>53880</v>
      </c>
      <c r="O32" s="27">
        <v>26597</v>
      </c>
      <c r="P32" s="27">
        <v>25262</v>
      </c>
      <c r="Q32" s="27">
        <f t="shared" si="3"/>
        <v>51859</v>
      </c>
      <c r="R32" s="27">
        <v>26063</v>
      </c>
      <c r="S32" s="27">
        <v>25365</v>
      </c>
      <c r="T32" s="27">
        <f t="shared" si="4"/>
        <v>51428</v>
      </c>
      <c r="U32" s="27">
        <f t="shared" si="13"/>
        <v>140525</v>
      </c>
      <c r="V32" s="27">
        <f t="shared" si="13"/>
        <v>133475</v>
      </c>
      <c r="W32" s="27">
        <f t="shared" si="14"/>
        <v>274000</v>
      </c>
      <c r="X32" s="27">
        <v>25101</v>
      </c>
      <c r="Y32" s="27">
        <v>24909</v>
      </c>
      <c r="Z32" s="27">
        <f>X32+Y32</f>
        <v>50010</v>
      </c>
      <c r="AA32" s="27">
        <v>24738</v>
      </c>
      <c r="AB32" s="27">
        <v>24693</v>
      </c>
      <c r="AC32" s="27">
        <f t="shared" si="6"/>
        <v>49431</v>
      </c>
      <c r="AD32" s="27">
        <v>22607</v>
      </c>
      <c r="AE32" s="27">
        <v>22257</v>
      </c>
      <c r="AF32" s="27">
        <f t="shared" si="7"/>
        <v>44864</v>
      </c>
      <c r="AG32" s="27">
        <f t="shared" si="15"/>
        <v>72446</v>
      </c>
      <c r="AH32" s="27">
        <f t="shared" si="15"/>
        <v>71859</v>
      </c>
      <c r="AI32" s="27">
        <f t="shared" si="16"/>
        <v>144305</v>
      </c>
      <c r="AJ32" s="27">
        <f t="shared" si="17"/>
        <v>212971</v>
      </c>
      <c r="AK32" s="27">
        <f t="shared" si="17"/>
        <v>205334</v>
      </c>
      <c r="AL32" s="27">
        <f t="shared" si="18"/>
        <v>418305</v>
      </c>
      <c r="AM32" s="27">
        <v>22713</v>
      </c>
      <c r="AN32" s="27">
        <v>19836</v>
      </c>
      <c r="AO32" s="27">
        <f t="shared" si="8"/>
        <v>42549</v>
      </c>
      <c r="AP32" s="27">
        <v>22320</v>
      </c>
      <c r="AQ32" s="27">
        <v>19354</v>
      </c>
      <c r="AR32" s="27">
        <f t="shared" si="9"/>
        <v>41674</v>
      </c>
      <c r="AS32" s="27">
        <f t="shared" si="19"/>
        <v>45033</v>
      </c>
      <c r="AT32" s="27">
        <f t="shared" si="19"/>
        <v>39190</v>
      </c>
      <c r="AU32" s="27">
        <f t="shared" si="20"/>
        <v>84223</v>
      </c>
      <c r="AV32" s="27">
        <f t="shared" si="21"/>
        <v>258004</v>
      </c>
      <c r="AW32" s="27">
        <f t="shared" si="21"/>
        <v>244524</v>
      </c>
      <c r="AX32" s="27">
        <f t="shared" si="25"/>
        <v>502528</v>
      </c>
      <c r="AY32" s="27">
        <v>13028</v>
      </c>
      <c r="AZ32" s="27">
        <v>11456</v>
      </c>
      <c r="BA32" s="27">
        <f t="shared" si="26"/>
        <v>24484</v>
      </c>
      <c r="BB32" s="27">
        <v>12377</v>
      </c>
      <c r="BC32" s="27">
        <v>11089</v>
      </c>
      <c r="BD32" s="27">
        <f t="shared" si="10"/>
        <v>23466</v>
      </c>
      <c r="BE32" s="27">
        <f t="shared" si="27"/>
        <v>25405</v>
      </c>
      <c r="BF32" s="27">
        <f t="shared" si="27"/>
        <v>22545</v>
      </c>
      <c r="BG32" s="27">
        <f t="shared" si="28"/>
        <v>47950</v>
      </c>
      <c r="BH32" s="27">
        <f t="shared" si="11"/>
        <v>283409</v>
      </c>
      <c r="BI32" s="27">
        <f t="shared" si="11"/>
        <v>267069</v>
      </c>
      <c r="BJ32" s="27">
        <f t="shared" si="22"/>
        <v>550478</v>
      </c>
      <c r="BK32" s="27">
        <f t="shared" si="23"/>
        <v>283409</v>
      </c>
      <c r="BL32" s="27">
        <f t="shared" si="23"/>
        <v>267069</v>
      </c>
      <c r="BM32" s="27">
        <f t="shared" si="24"/>
        <v>550478</v>
      </c>
    </row>
    <row r="33" spans="1:70" ht="18.75" customHeight="1">
      <c r="A33" s="25">
        <v>28</v>
      </c>
      <c r="B33" s="26" t="s">
        <v>38</v>
      </c>
      <c r="C33" s="27">
        <v>0</v>
      </c>
      <c r="D33" s="27">
        <v>0</v>
      </c>
      <c r="E33" s="27">
        <f t="shared" si="0"/>
        <v>0</v>
      </c>
      <c r="F33" s="27">
        <v>342684</v>
      </c>
      <c r="G33" s="27">
        <v>325743</v>
      </c>
      <c r="H33" s="27">
        <f t="shared" si="12"/>
        <v>668427</v>
      </c>
      <c r="I33" s="27">
        <v>252813</v>
      </c>
      <c r="J33" s="27">
        <v>244475</v>
      </c>
      <c r="K33" s="27">
        <f t="shared" si="1"/>
        <v>497288</v>
      </c>
      <c r="L33" s="27">
        <v>251616</v>
      </c>
      <c r="M33" s="27">
        <v>243445</v>
      </c>
      <c r="N33" s="27">
        <f t="shared" si="2"/>
        <v>495061</v>
      </c>
      <c r="O33" s="27">
        <v>264706</v>
      </c>
      <c r="P33" s="27">
        <v>254598</v>
      </c>
      <c r="Q33" s="27">
        <f t="shared" si="3"/>
        <v>519304</v>
      </c>
      <c r="R33" s="27">
        <v>265732</v>
      </c>
      <c r="S33" s="27">
        <v>256704</v>
      </c>
      <c r="T33" s="27">
        <f t="shared" si="4"/>
        <v>522436</v>
      </c>
      <c r="U33" s="27">
        <f t="shared" si="13"/>
        <v>1377551</v>
      </c>
      <c r="V33" s="27">
        <f t="shared" si="13"/>
        <v>1324965</v>
      </c>
      <c r="W33" s="27">
        <f t="shared" si="14"/>
        <v>2702516</v>
      </c>
      <c r="X33" s="27">
        <v>232116</v>
      </c>
      <c r="Y33" s="27">
        <v>228560</v>
      </c>
      <c r="Z33" s="27">
        <f t="shared" si="5"/>
        <v>460676</v>
      </c>
      <c r="AA33" s="27">
        <v>221124</v>
      </c>
      <c r="AB33" s="27">
        <v>221746</v>
      </c>
      <c r="AC33" s="27">
        <f t="shared" si="6"/>
        <v>442870</v>
      </c>
      <c r="AD33" s="27">
        <v>204482</v>
      </c>
      <c r="AE33" s="27">
        <v>206645</v>
      </c>
      <c r="AF33" s="27">
        <f t="shared" si="7"/>
        <v>411127</v>
      </c>
      <c r="AG33" s="27">
        <f t="shared" si="15"/>
        <v>657722</v>
      </c>
      <c r="AH33" s="27">
        <f t="shared" si="15"/>
        <v>656951</v>
      </c>
      <c r="AI33" s="27">
        <f t="shared" si="16"/>
        <v>1314673</v>
      </c>
      <c r="AJ33" s="27">
        <f t="shared" si="17"/>
        <v>2035273</v>
      </c>
      <c r="AK33" s="27">
        <f t="shared" si="17"/>
        <v>1981916</v>
      </c>
      <c r="AL33" s="27">
        <f t="shared" si="18"/>
        <v>4017189</v>
      </c>
      <c r="AM33" s="27">
        <v>175295</v>
      </c>
      <c r="AN33" s="27">
        <v>178690</v>
      </c>
      <c r="AO33" s="27">
        <f>AM33+AN33</f>
        <v>353985</v>
      </c>
      <c r="AP33" s="27">
        <v>137501</v>
      </c>
      <c r="AQ33" s="27">
        <v>133545</v>
      </c>
      <c r="AR33" s="27">
        <f t="shared" si="9"/>
        <v>271046</v>
      </c>
      <c r="AS33" s="27">
        <f t="shared" si="19"/>
        <v>312796</v>
      </c>
      <c r="AT33" s="27">
        <f t="shared" si="19"/>
        <v>312235</v>
      </c>
      <c r="AU33" s="27">
        <f t="shared" si="20"/>
        <v>625031</v>
      </c>
      <c r="AV33" s="27">
        <f t="shared" si="21"/>
        <v>2348069</v>
      </c>
      <c r="AW33" s="27">
        <f t="shared" si="21"/>
        <v>2294151</v>
      </c>
      <c r="AX33" s="27">
        <f t="shared" si="25"/>
        <v>4642220</v>
      </c>
      <c r="AY33" s="27">
        <v>115229</v>
      </c>
      <c r="AZ33" s="27">
        <v>92097</v>
      </c>
      <c r="BA33" s="27">
        <f t="shared" si="26"/>
        <v>207326</v>
      </c>
      <c r="BB33" s="27">
        <v>96715</v>
      </c>
      <c r="BC33" s="27">
        <v>74706</v>
      </c>
      <c r="BD33" s="27">
        <f t="shared" si="10"/>
        <v>171421</v>
      </c>
      <c r="BE33" s="27">
        <f t="shared" si="27"/>
        <v>211944</v>
      </c>
      <c r="BF33" s="27">
        <f t="shared" si="27"/>
        <v>166803</v>
      </c>
      <c r="BG33" s="27">
        <f t="shared" si="28"/>
        <v>378747</v>
      </c>
      <c r="BH33" s="27">
        <f t="shared" si="11"/>
        <v>2560013</v>
      </c>
      <c r="BI33" s="27">
        <f t="shared" si="11"/>
        <v>2460954</v>
      </c>
      <c r="BJ33" s="27">
        <f t="shared" si="22"/>
        <v>5020967</v>
      </c>
      <c r="BK33" s="27">
        <f t="shared" si="23"/>
        <v>2560013</v>
      </c>
      <c r="BL33" s="27">
        <f t="shared" si="23"/>
        <v>2460954</v>
      </c>
      <c r="BM33" s="27">
        <f t="shared" si="24"/>
        <v>5020967</v>
      </c>
      <c r="BR33" s="5" t="s">
        <v>200</v>
      </c>
    </row>
    <row r="34" spans="1:70" ht="18.75" customHeight="1">
      <c r="A34" s="25">
        <v>29</v>
      </c>
      <c r="B34" s="26" t="s">
        <v>39</v>
      </c>
      <c r="C34" s="27"/>
      <c r="D34" s="27"/>
      <c r="E34" s="27">
        <f t="shared" si="0"/>
        <v>0</v>
      </c>
      <c r="F34" s="27"/>
      <c r="G34" s="27"/>
      <c r="H34" s="27">
        <f t="shared" si="12"/>
        <v>0</v>
      </c>
      <c r="I34" s="27"/>
      <c r="J34" s="27"/>
      <c r="K34" s="27">
        <f t="shared" si="1"/>
        <v>0</v>
      </c>
      <c r="L34" s="27"/>
      <c r="M34" s="27"/>
      <c r="N34" s="27">
        <f t="shared" si="2"/>
        <v>0</v>
      </c>
      <c r="O34" s="27"/>
      <c r="P34" s="27"/>
      <c r="Q34" s="27">
        <f t="shared" si="3"/>
        <v>0</v>
      </c>
      <c r="R34" s="27"/>
      <c r="S34" s="27"/>
      <c r="T34" s="27">
        <f t="shared" si="4"/>
        <v>0</v>
      </c>
      <c r="U34" s="27">
        <f t="shared" si="13"/>
        <v>0</v>
      </c>
      <c r="V34" s="27">
        <f t="shared" si="13"/>
        <v>0</v>
      </c>
      <c r="W34" s="27">
        <f t="shared" si="14"/>
        <v>0</v>
      </c>
      <c r="X34" s="27"/>
      <c r="Y34" s="27"/>
      <c r="Z34" s="27">
        <f t="shared" si="5"/>
        <v>0</v>
      </c>
      <c r="AA34" s="27"/>
      <c r="AB34" s="27"/>
      <c r="AC34" s="27">
        <f t="shared" si="6"/>
        <v>0</v>
      </c>
      <c r="AD34" s="27"/>
      <c r="AE34" s="27"/>
      <c r="AF34" s="27">
        <f t="shared" si="7"/>
        <v>0</v>
      </c>
      <c r="AG34" s="27">
        <f t="shared" si="15"/>
        <v>0</v>
      </c>
      <c r="AH34" s="27">
        <f t="shared" si="15"/>
        <v>0</v>
      </c>
      <c r="AI34" s="27">
        <f t="shared" si="16"/>
        <v>0</v>
      </c>
      <c r="AJ34" s="27">
        <f t="shared" si="17"/>
        <v>0</v>
      </c>
      <c r="AK34" s="27">
        <f t="shared" si="17"/>
        <v>0</v>
      </c>
      <c r="AL34" s="27">
        <f t="shared" si="18"/>
        <v>0</v>
      </c>
      <c r="AM34" s="27"/>
      <c r="AN34" s="27"/>
      <c r="AO34" s="27">
        <f t="shared" si="8"/>
        <v>0</v>
      </c>
      <c r="AP34" s="27"/>
      <c r="AQ34" s="27"/>
      <c r="AR34" s="27">
        <f t="shared" si="9"/>
        <v>0</v>
      </c>
      <c r="AS34" s="27">
        <f t="shared" si="19"/>
        <v>0</v>
      </c>
      <c r="AT34" s="27">
        <f t="shared" si="19"/>
        <v>0</v>
      </c>
      <c r="AU34" s="27">
        <f t="shared" si="20"/>
        <v>0</v>
      </c>
      <c r="AV34" s="27">
        <f t="shared" si="21"/>
        <v>0</v>
      </c>
      <c r="AW34" s="27">
        <f t="shared" si="21"/>
        <v>0</v>
      </c>
      <c r="AX34" s="27">
        <f t="shared" si="25"/>
        <v>0</v>
      </c>
      <c r="AY34" s="27"/>
      <c r="AZ34" s="27"/>
      <c r="BA34" s="27">
        <f t="shared" si="26"/>
        <v>0</v>
      </c>
      <c r="BB34" s="27"/>
      <c r="BC34" s="27"/>
      <c r="BD34" s="27">
        <f t="shared" si="10"/>
        <v>0</v>
      </c>
      <c r="BE34" s="27">
        <f t="shared" si="27"/>
        <v>0</v>
      </c>
      <c r="BF34" s="27">
        <f t="shared" si="27"/>
        <v>0</v>
      </c>
      <c r="BG34" s="27">
        <f t="shared" si="28"/>
        <v>0</v>
      </c>
      <c r="BH34" s="27">
        <f t="shared" si="11"/>
        <v>0</v>
      </c>
      <c r="BI34" s="27">
        <f t="shared" si="11"/>
        <v>0</v>
      </c>
      <c r="BJ34" s="27">
        <f t="shared" si="22"/>
        <v>0</v>
      </c>
      <c r="BK34" s="27">
        <f t="shared" si="23"/>
        <v>0</v>
      </c>
      <c r="BL34" s="27">
        <f t="shared" si="23"/>
        <v>0</v>
      </c>
      <c r="BM34" s="27">
        <f t="shared" si="24"/>
        <v>0</v>
      </c>
    </row>
    <row r="35" spans="1:70" ht="18.75" customHeight="1">
      <c r="A35" s="25">
        <v>30</v>
      </c>
      <c r="B35" s="26" t="s">
        <v>40</v>
      </c>
      <c r="C35" s="27">
        <v>613</v>
      </c>
      <c r="D35" s="27">
        <v>543</v>
      </c>
      <c r="E35" s="27">
        <f t="shared" si="0"/>
        <v>1156</v>
      </c>
      <c r="F35" s="27">
        <v>728</v>
      </c>
      <c r="G35" s="27">
        <v>624</v>
      </c>
      <c r="H35" s="27">
        <f t="shared" si="12"/>
        <v>1352</v>
      </c>
      <c r="I35" s="27">
        <v>899</v>
      </c>
      <c r="J35" s="27">
        <v>786</v>
      </c>
      <c r="K35" s="27">
        <f t="shared" si="1"/>
        <v>1685</v>
      </c>
      <c r="L35" s="27">
        <v>982</v>
      </c>
      <c r="M35" s="27">
        <v>826</v>
      </c>
      <c r="N35" s="27">
        <f t="shared" si="2"/>
        <v>1808</v>
      </c>
      <c r="O35" s="27">
        <v>1133</v>
      </c>
      <c r="P35" s="27">
        <v>854</v>
      </c>
      <c r="Q35" s="27">
        <f t="shared" si="3"/>
        <v>1987</v>
      </c>
      <c r="R35" s="27">
        <v>1182</v>
      </c>
      <c r="S35" s="27">
        <v>960</v>
      </c>
      <c r="T35" s="27">
        <f t="shared" si="4"/>
        <v>2142</v>
      </c>
      <c r="U35" s="27">
        <f t="shared" si="13"/>
        <v>4924</v>
      </c>
      <c r="V35" s="27">
        <f t="shared" si="13"/>
        <v>4050</v>
      </c>
      <c r="W35" s="27">
        <f t="shared" si="14"/>
        <v>8974</v>
      </c>
      <c r="X35" s="27">
        <v>1220</v>
      </c>
      <c r="Y35" s="27">
        <v>1099</v>
      </c>
      <c r="Z35" s="27">
        <f t="shared" si="5"/>
        <v>2319</v>
      </c>
      <c r="AA35" s="27">
        <v>1450</v>
      </c>
      <c r="AB35" s="27">
        <v>1259</v>
      </c>
      <c r="AC35" s="27">
        <f t="shared" si="6"/>
        <v>2709</v>
      </c>
      <c r="AD35" s="27">
        <v>1165</v>
      </c>
      <c r="AE35" s="27">
        <v>1067</v>
      </c>
      <c r="AF35" s="27">
        <f t="shared" si="7"/>
        <v>2232</v>
      </c>
      <c r="AG35" s="27">
        <f t="shared" si="15"/>
        <v>3835</v>
      </c>
      <c r="AH35" s="27">
        <f t="shared" si="15"/>
        <v>3425</v>
      </c>
      <c r="AI35" s="27">
        <f t="shared" si="16"/>
        <v>7260</v>
      </c>
      <c r="AJ35" s="27">
        <f t="shared" si="17"/>
        <v>8759</v>
      </c>
      <c r="AK35" s="27">
        <f t="shared" si="17"/>
        <v>7475</v>
      </c>
      <c r="AL35" s="27">
        <f t="shared" si="18"/>
        <v>16234</v>
      </c>
      <c r="AM35" s="27">
        <v>1179</v>
      </c>
      <c r="AN35" s="27">
        <v>1098</v>
      </c>
      <c r="AO35" s="27">
        <f t="shared" si="8"/>
        <v>2277</v>
      </c>
      <c r="AP35" s="27">
        <v>1207</v>
      </c>
      <c r="AQ35" s="27">
        <v>1125</v>
      </c>
      <c r="AR35" s="27">
        <f t="shared" si="9"/>
        <v>2332</v>
      </c>
      <c r="AS35" s="27">
        <f t="shared" si="19"/>
        <v>2386</v>
      </c>
      <c r="AT35" s="27">
        <f t="shared" si="19"/>
        <v>2223</v>
      </c>
      <c r="AU35" s="27">
        <f t="shared" si="20"/>
        <v>4609</v>
      </c>
      <c r="AV35" s="27">
        <f t="shared" si="21"/>
        <v>11145</v>
      </c>
      <c r="AW35" s="27">
        <f t="shared" si="21"/>
        <v>9698</v>
      </c>
      <c r="AX35" s="27">
        <f t="shared" si="25"/>
        <v>20843</v>
      </c>
      <c r="AY35" s="27">
        <v>1165</v>
      </c>
      <c r="AZ35" s="27">
        <v>894</v>
      </c>
      <c r="BA35" s="27">
        <f t="shared" si="26"/>
        <v>2059</v>
      </c>
      <c r="BB35" s="27">
        <v>781</v>
      </c>
      <c r="BC35" s="27">
        <v>617</v>
      </c>
      <c r="BD35" s="27">
        <f t="shared" si="10"/>
        <v>1398</v>
      </c>
      <c r="BE35" s="27">
        <f t="shared" si="27"/>
        <v>1946</v>
      </c>
      <c r="BF35" s="27">
        <f t="shared" si="27"/>
        <v>1511</v>
      </c>
      <c r="BG35" s="27">
        <f t="shared" si="28"/>
        <v>3457</v>
      </c>
      <c r="BH35" s="27">
        <f t="shared" si="11"/>
        <v>13091</v>
      </c>
      <c r="BI35" s="27">
        <f t="shared" si="11"/>
        <v>11209</v>
      </c>
      <c r="BJ35" s="27">
        <f t="shared" si="22"/>
        <v>24300</v>
      </c>
      <c r="BK35" s="27">
        <f t="shared" si="23"/>
        <v>13704</v>
      </c>
      <c r="BL35" s="27">
        <f t="shared" si="23"/>
        <v>11752</v>
      </c>
      <c r="BM35" s="27">
        <f t="shared" si="24"/>
        <v>25456</v>
      </c>
    </row>
    <row r="36" spans="1:70" ht="18.75" customHeight="1">
      <c r="A36" s="25">
        <v>31</v>
      </c>
      <c r="B36" s="26" t="s">
        <v>41</v>
      </c>
      <c r="C36" s="27"/>
      <c r="D36" s="27"/>
      <c r="E36" s="27">
        <f t="shared" si="0"/>
        <v>0</v>
      </c>
      <c r="F36" s="27">
        <v>87</v>
      </c>
      <c r="G36" s="27">
        <v>98</v>
      </c>
      <c r="H36" s="27">
        <f t="shared" si="12"/>
        <v>185</v>
      </c>
      <c r="I36" s="27">
        <v>113</v>
      </c>
      <c r="J36" s="27">
        <v>84</v>
      </c>
      <c r="K36" s="27">
        <f t="shared" si="1"/>
        <v>197</v>
      </c>
      <c r="L36" s="27">
        <v>111</v>
      </c>
      <c r="M36" s="27">
        <v>76</v>
      </c>
      <c r="N36" s="27">
        <f t="shared" si="2"/>
        <v>187</v>
      </c>
      <c r="O36" s="27">
        <v>97</v>
      </c>
      <c r="P36" s="27">
        <v>83</v>
      </c>
      <c r="Q36" s="27">
        <f t="shared" si="3"/>
        <v>180</v>
      </c>
      <c r="R36" s="27">
        <v>105</v>
      </c>
      <c r="S36" s="27">
        <v>74</v>
      </c>
      <c r="T36" s="27">
        <f t="shared" si="4"/>
        <v>179</v>
      </c>
      <c r="U36" s="27">
        <f t="shared" si="13"/>
        <v>513</v>
      </c>
      <c r="V36" s="27">
        <f t="shared" si="13"/>
        <v>415</v>
      </c>
      <c r="W36" s="27">
        <f t="shared" si="14"/>
        <v>928</v>
      </c>
      <c r="X36" s="27">
        <v>75</v>
      </c>
      <c r="Y36" s="27">
        <v>55</v>
      </c>
      <c r="Z36" s="27">
        <f t="shared" si="5"/>
        <v>130</v>
      </c>
      <c r="AA36" s="27">
        <v>85</v>
      </c>
      <c r="AB36" s="27">
        <v>72</v>
      </c>
      <c r="AC36" s="27">
        <f t="shared" si="6"/>
        <v>157</v>
      </c>
      <c r="AD36" s="27">
        <v>82</v>
      </c>
      <c r="AE36" s="27">
        <v>64</v>
      </c>
      <c r="AF36" s="27">
        <f t="shared" si="7"/>
        <v>146</v>
      </c>
      <c r="AG36" s="27">
        <f t="shared" si="15"/>
        <v>242</v>
      </c>
      <c r="AH36" s="27">
        <f t="shared" si="15"/>
        <v>191</v>
      </c>
      <c r="AI36" s="27">
        <f t="shared" si="16"/>
        <v>433</v>
      </c>
      <c r="AJ36" s="27">
        <f t="shared" si="17"/>
        <v>755</v>
      </c>
      <c r="AK36" s="27">
        <f t="shared" si="17"/>
        <v>606</v>
      </c>
      <c r="AL36" s="27">
        <f t="shared" si="18"/>
        <v>1361</v>
      </c>
      <c r="AM36" s="27">
        <v>66</v>
      </c>
      <c r="AN36" s="27">
        <v>73</v>
      </c>
      <c r="AO36" s="27">
        <f t="shared" si="8"/>
        <v>139</v>
      </c>
      <c r="AP36" s="27">
        <v>70</v>
      </c>
      <c r="AQ36" s="27">
        <v>72</v>
      </c>
      <c r="AR36" s="27">
        <f t="shared" si="9"/>
        <v>142</v>
      </c>
      <c r="AS36" s="27">
        <f t="shared" si="19"/>
        <v>136</v>
      </c>
      <c r="AT36" s="27">
        <f t="shared" si="19"/>
        <v>145</v>
      </c>
      <c r="AU36" s="27">
        <f t="shared" si="20"/>
        <v>281</v>
      </c>
      <c r="AV36" s="27">
        <f t="shared" si="21"/>
        <v>891</v>
      </c>
      <c r="AW36" s="27">
        <f t="shared" si="21"/>
        <v>751</v>
      </c>
      <c r="AX36" s="27">
        <f t="shared" si="25"/>
        <v>1642</v>
      </c>
      <c r="AY36" s="27">
        <v>66</v>
      </c>
      <c r="AZ36" s="27">
        <v>62</v>
      </c>
      <c r="BA36" s="27">
        <f t="shared" si="26"/>
        <v>128</v>
      </c>
      <c r="BB36" s="27">
        <v>27</v>
      </c>
      <c r="BC36" s="27">
        <v>37</v>
      </c>
      <c r="BD36" s="27">
        <f t="shared" si="10"/>
        <v>64</v>
      </c>
      <c r="BE36" s="27">
        <f t="shared" si="27"/>
        <v>93</v>
      </c>
      <c r="BF36" s="27">
        <f t="shared" si="27"/>
        <v>99</v>
      </c>
      <c r="BG36" s="27">
        <f t="shared" si="28"/>
        <v>192</v>
      </c>
      <c r="BH36" s="27">
        <f t="shared" si="11"/>
        <v>984</v>
      </c>
      <c r="BI36" s="27">
        <f t="shared" si="11"/>
        <v>850</v>
      </c>
      <c r="BJ36" s="27">
        <f t="shared" si="22"/>
        <v>1834</v>
      </c>
      <c r="BK36" s="27">
        <f t="shared" si="23"/>
        <v>984</v>
      </c>
      <c r="BL36" s="27">
        <f t="shared" si="23"/>
        <v>850</v>
      </c>
      <c r="BM36" s="27">
        <f t="shared" si="24"/>
        <v>1834</v>
      </c>
    </row>
    <row r="37" spans="1:70" ht="18.75" customHeight="1">
      <c r="A37" s="25">
        <v>32</v>
      </c>
      <c r="B37" s="26" t="s">
        <v>42</v>
      </c>
      <c r="C37" s="27">
        <v>40</v>
      </c>
      <c r="D37" s="27">
        <v>24</v>
      </c>
      <c r="E37" s="27">
        <f t="shared" si="0"/>
        <v>64</v>
      </c>
      <c r="F37" s="27">
        <v>53</v>
      </c>
      <c r="G37" s="27">
        <v>59</v>
      </c>
      <c r="H37" s="27">
        <f t="shared" si="12"/>
        <v>112</v>
      </c>
      <c r="I37" s="27">
        <v>62</v>
      </c>
      <c r="J37" s="27">
        <v>50</v>
      </c>
      <c r="K37" s="27">
        <f t="shared" si="1"/>
        <v>112</v>
      </c>
      <c r="L37" s="27">
        <v>61</v>
      </c>
      <c r="M37" s="27">
        <v>52</v>
      </c>
      <c r="N37" s="27">
        <f t="shared" si="2"/>
        <v>113</v>
      </c>
      <c r="O37" s="27">
        <v>44</v>
      </c>
      <c r="P37" s="27">
        <v>58</v>
      </c>
      <c r="Q37" s="27">
        <f t="shared" si="3"/>
        <v>102</v>
      </c>
      <c r="R37" s="27">
        <v>80</v>
      </c>
      <c r="S37" s="27">
        <v>57</v>
      </c>
      <c r="T37" s="27">
        <f t="shared" si="4"/>
        <v>137</v>
      </c>
      <c r="U37" s="27">
        <f t="shared" si="13"/>
        <v>300</v>
      </c>
      <c r="V37" s="27">
        <f t="shared" si="13"/>
        <v>276</v>
      </c>
      <c r="W37" s="27">
        <f t="shared" si="14"/>
        <v>576</v>
      </c>
      <c r="X37" s="27">
        <v>84</v>
      </c>
      <c r="Y37" s="27">
        <v>80</v>
      </c>
      <c r="Z37" s="27">
        <f t="shared" si="5"/>
        <v>164</v>
      </c>
      <c r="AA37" s="27">
        <v>85</v>
      </c>
      <c r="AB37" s="27">
        <v>61</v>
      </c>
      <c r="AC37" s="27">
        <f t="shared" si="6"/>
        <v>146</v>
      </c>
      <c r="AD37" s="27">
        <v>92</v>
      </c>
      <c r="AE37" s="27">
        <v>76</v>
      </c>
      <c r="AF37" s="27">
        <f t="shared" si="7"/>
        <v>168</v>
      </c>
      <c r="AG37" s="27">
        <f t="shared" si="15"/>
        <v>261</v>
      </c>
      <c r="AH37" s="27">
        <f t="shared" si="15"/>
        <v>217</v>
      </c>
      <c r="AI37" s="27">
        <f t="shared" si="16"/>
        <v>478</v>
      </c>
      <c r="AJ37" s="27">
        <f t="shared" si="17"/>
        <v>561</v>
      </c>
      <c r="AK37" s="27">
        <f t="shared" si="17"/>
        <v>493</v>
      </c>
      <c r="AL37" s="27">
        <f t="shared" si="18"/>
        <v>1054</v>
      </c>
      <c r="AM37" s="27">
        <v>112</v>
      </c>
      <c r="AN37" s="27">
        <v>72</v>
      </c>
      <c r="AO37" s="27">
        <f t="shared" si="8"/>
        <v>184</v>
      </c>
      <c r="AP37" s="27">
        <v>72</v>
      </c>
      <c r="AQ37" s="27">
        <v>71</v>
      </c>
      <c r="AR37" s="27">
        <f t="shared" si="9"/>
        <v>143</v>
      </c>
      <c r="AS37" s="27">
        <f t="shared" si="19"/>
        <v>184</v>
      </c>
      <c r="AT37" s="27">
        <f t="shared" si="19"/>
        <v>143</v>
      </c>
      <c r="AU37" s="27">
        <f t="shared" si="20"/>
        <v>327</v>
      </c>
      <c r="AV37" s="27">
        <f t="shared" si="21"/>
        <v>745</v>
      </c>
      <c r="AW37" s="27">
        <f t="shared" si="21"/>
        <v>636</v>
      </c>
      <c r="AX37" s="27">
        <f t="shared" si="25"/>
        <v>1381</v>
      </c>
      <c r="AY37" s="27">
        <v>61</v>
      </c>
      <c r="AZ37" s="27">
        <v>60</v>
      </c>
      <c r="BA37" s="27">
        <f t="shared" si="26"/>
        <v>121</v>
      </c>
      <c r="BB37" s="27">
        <v>60</v>
      </c>
      <c r="BC37" s="27">
        <v>48</v>
      </c>
      <c r="BD37" s="27">
        <f t="shared" si="10"/>
        <v>108</v>
      </c>
      <c r="BE37" s="27">
        <f t="shared" si="27"/>
        <v>121</v>
      </c>
      <c r="BF37" s="27">
        <f t="shared" si="27"/>
        <v>108</v>
      </c>
      <c r="BG37" s="27">
        <f t="shared" si="28"/>
        <v>229</v>
      </c>
      <c r="BH37" s="27">
        <f t="shared" si="11"/>
        <v>866</v>
      </c>
      <c r="BI37" s="27">
        <f t="shared" si="11"/>
        <v>744</v>
      </c>
      <c r="BJ37" s="27">
        <f t="shared" si="22"/>
        <v>1610</v>
      </c>
      <c r="BK37" s="27">
        <f t="shared" si="23"/>
        <v>906</v>
      </c>
      <c r="BL37" s="27">
        <f t="shared" si="23"/>
        <v>768</v>
      </c>
      <c r="BM37" s="27">
        <f t="shared" si="24"/>
        <v>1674</v>
      </c>
    </row>
    <row r="38" spans="1:70" ht="18.75" customHeight="1">
      <c r="A38" s="25">
        <v>33</v>
      </c>
      <c r="B38" s="26" t="s">
        <v>43</v>
      </c>
      <c r="C38" s="27">
        <v>5855</v>
      </c>
      <c r="D38" s="27">
        <v>6422</v>
      </c>
      <c r="E38" s="27">
        <f t="shared" si="0"/>
        <v>12277</v>
      </c>
      <c r="F38" s="27">
        <v>17904</v>
      </c>
      <c r="G38" s="27">
        <v>16137</v>
      </c>
      <c r="H38" s="27">
        <f t="shared" si="12"/>
        <v>34041</v>
      </c>
      <c r="I38" s="27">
        <v>19143</v>
      </c>
      <c r="J38" s="27">
        <v>16989</v>
      </c>
      <c r="K38" s="27">
        <f t="shared" si="1"/>
        <v>36132</v>
      </c>
      <c r="L38" s="27">
        <v>19523</v>
      </c>
      <c r="M38" s="27">
        <v>17120</v>
      </c>
      <c r="N38" s="27">
        <f t="shared" si="2"/>
        <v>36643</v>
      </c>
      <c r="O38" s="27">
        <v>20972</v>
      </c>
      <c r="P38" s="27">
        <v>19918</v>
      </c>
      <c r="Q38" s="27">
        <f t="shared" si="3"/>
        <v>40890</v>
      </c>
      <c r="R38" s="27">
        <v>22436</v>
      </c>
      <c r="S38" s="27">
        <v>19353</v>
      </c>
      <c r="T38" s="27">
        <f t="shared" si="4"/>
        <v>41789</v>
      </c>
      <c r="U38" s="27">
        <f t="shared" si="13"/>
        <v>99978</v>
      </c>
      <c r="V38" s="27">
        <f t="shared" si="13"/>
        <v>89517</v>
      </c>
      <c r="W38" s="27">
        <f t="shared" si="14"/>
        <v>189495</v>
      </c>
      <c r="X38" s="27">
        <v>14456</v>
      </c>
      <c r="Y38" s="27">
        <v>15011</v>
      </c>
      <c r="Z38" s="27">
        <f t="shared" si="5"/>
        <v>29467</v>
      </c>
      <c r="AA38" s="27">
        <v>15153</v>
      </c>
      <c r="AB38" s="27">
        <v>15976</v>
      </c>
      <c r="AC38" s="27">
        <f t="shared" si="6"/>
        <v>31129</v>
      </c>
      <c r="AD38" s="27">
        <v>16034</v>
      </c>
      <c r="AE38" s="27">
        <v>16023</v>
      </c>
      <c r="AF38" s="27">
        <f t="shared" si="7"/>
        <v>32057</v>
      </c>
      <c r="AG38" s="27">
        <f t="shared" si="15"/>
        <v>45643</v>
      </c>
      <c r="AH38" s="27">
        <f t="shared" si="15"/>
        <v>47010</v>
      </c>
      <c r="AI38" s="27">
        <f t="shared" si="16"/>
        <v>92653</v>
      </c>
      <c r="AJ38" s="27">
        <f t="shared" si="17"/>
        <v>145621</v>
      </c>
      <c r="AK38" s="27">
        <f t="shared" si="17"/>
        <v>136527</v>
      </c>
      <c r="AL38" s="27">
        <f t="shared" si="18"/>
        <v>282148</v>
      </c>
      <c r="AM38" s="27">
        <v>19639</v>
      </c>
      <c r="AN38" s="27">
        <v>19444</v>
      </c>
      <c r="AO38" s="27">
        <f t="shared" si="8"/>
        <v>39083</v>
      </c>
      <c r="AP38" s="27">
        <v>23211</v>
      </c>
      <c r="AQ38" s="27">
        <v>23489</v>
      </c>
      <c r="AR38" s="27">
        <f>AP38+AQ38</f>
        <v>46700</v>
      </c>
      <c r="AS38" s="27">
        <f t="shared" si="19"/>
        <v>42850</v>
      </c>
      <c r="AT38" s="27">
        <f t="shared" si="19"/>
        <v>42933</v>
      </c>
      <c r="AU38" s="27">
        <f t="shared" si="20"/>
        <v>85783</v>
      </c>
      <c r="AV38" s="27">
        <f t="shared" si="21"/>
        <v>188471</v>
      </c>
      <c r="AW38" s="27">
        <f t="shared" si="21"/>
        <v>179460</v>
      </c>
      <c r="AX38" s="27">
        <f t="shared" si="25"/>
        <v>367931</v>
      </c>
      <c r="AY38" s="27">
        <v>17377</v>
      </c>
      <c r="AZ38" s="27">
        <v>17925</v>
      </c>
      <c r="BA38" s="27">
        <f t="shared" si="26"/>
        <v>35302</v>
      </c>
      <c r="BB38" s="27">
        <v>12282</v>
      </c>
      <c r="BC38" s="27">
        <v>13219</v>
      </c>
      <c r="BD38" s="27">
        <f t="shared" si="10"/>
        <v>25501</v>
      </c>
      <c r="BE38" s="27">
        <f t="shared" si="27"/>
        <v>29659</v>
      </c>
      <c r="BF38" s="27">
        <f t="shared" si="27"/>
        <v>31144</v>
      </c>
      <c r="BG38" s="27">
        <f t="shared" si="28"/>
        <v>60803</v>
      </c>
      <c r="BH38" s="27">
        <f t="shared" si="11"/>
        <v>218130</v>
      </c>
      <c r="BI38" s="27">
        <f t="shared" si="11"/>
        <v>210604</v>
      </c>
      <c r="BJ38" s="27">
        <f t="shared" si="22"/>
        <v>428734</v>
      </c>
      <c r="BK38" s="27">
        <f t="shared" si="23"/>
        <v>223985</v>
      </c>
      <c r="BL38" s="27">
        <f t="shared" si="23"/>
        <v>217026</v>
      </c>
      <c r="BM38" s="27">
        <f t="shared" si="24"/>
        <v>441011</v>
      </c>
    </row>
    <row r="39" spans="1:70" ht="18.75" customHeight="1">
      <c r="A39" s="25">
        <v>34</v>
      </c>
      <c r="B39" s="26" t="s">
        <v>44</v>
      </c>
      <c r="C39" s="27">
        <v>0</v>
      </c>
      <c r="D39" s="27">
        <v>0</v>
      </c>
      <c r="E39" s="27">
        <f t="shared" si="0"/>
        <v>0</v>
      </c>
      <c r="F39" s="27">
        <v>0</v>
      </c>
      <c r="G39" s="27">
        <v>0</v>
      </c>
      <c r="H39" s="27">
        <f t="shared" si="12"/>
        <v>0</v>
      </c>
      <c r="I39" s="27">
        <v>0</v>
      </c>
      <c r="J39" s="27">
        <v>0</v>
      </c>
      <c r="K39" s="27">
        <f t="shared" si="1"/>
        <v>0</v>
      </c>
      <c r="L39" s="27">
        <v>0</v>
      </c>
      <c r="M39" s="27">
        <v>0</v>
      </c>
      <c r="N39" s="27">
        <f t="shared" si="2"/>
        <v>0</v>
      </c>
      <c r="O39" s="27">
        <v>0</v>
      </c>
      <c r="P39" s="27">
        <v>0</v>
      </c>
      <c r="Q39" s="27">
        <f t="shared" si="3"/>
        <v>0</v>
      </c>
      <c r="R39" s="27">
        <v>0</v>
      </c>
      <c r="S39" s="27">
        <v>0</v>
      </c>
      <c r="T39" s="27">
        <f t="shared" si="4"/>
        <v>0</v>
      </c>
      <c r="U39" s="27">
        <f t="shared" si="13"/>
        <v>0</v>
      </c>
      <c r="V39" s="27">
        <f t="shared" si="13"/>
        <v>0</v>
      </c>
      <c r="W39" s="27">
        <f t="shared" si="14"/>
        <v>0</v>
      </c>
      <c r="X39" s="27">
        <v>0</v>
      </c>
      <c r="Y39" s="27">
        <v>0</v>
      </c>
      <c r="Z39" s="27">
        <f t="shared" si="5"/>
        <v>0</v>
      </c>
      <c r="AA39" s="27">
        <v>0</v>
      </c>
      <c r="AB39" s="27">
        <v>0</v>
      </c>
      <c r="AC39" s="27">
        <f t="shared" si="6"/>
        <v>0</v>
      </c>
      <c r="AD39" s="27">
        <v>0</v>
      </c>
      <c r="AE39" s="27">
        <v>0</v>
      </c>
      <c r="AF39" s="27">
        <f t="shared" si="7"/>
        <v>0</v>
      </c>
      <c r="AG39" s="27">
        <f t="shared" si="15"/>
        <v>0</v>
      </c>
      <c r="AH39" s="27">
        <f t="shared" si="15"/>
        <v>0</v>
      </c>
      <c r="AI39" s="27">
        <f t="shared" si="16"/>
        <v>0</v>
      </c>
      <c r="AJ39" s="27">
        <f t="shared" si="17"/>
        <v>0</v>
      </c>
      <c r="AK39" s="27">
        <f t="shared" si="17"/>
        <v>0</v>
      </c>
      <c r="AL39" s="27">
        <f t="shared" si="18"/>
        <v>0</v>
      </c>
      <c r="AM39" s="27">
        <v>0</v>
      </c>
      <c r="AN39" s="27">
        <v>0</v>
      </c>
      <c r="AO39" s="27">
        <f t="shared" si="8"/>
        <v>0</v>
      </c>
      <c r="AP39" s="27">
        <v>0</v>
      </c>
      <c r="AQ39" s="27">
        <v>0</v>
      </c>
      <c r="AR39" s="27">
        <f t="shared" si="9"/>
        <v>0</v>
      </c>
      <c r="AS39" s="27">
        <f t="shared" si="19"/>
        <v>0</v>
      </c>
      <c r="AT39" s="27">
        <f t="shared" si="19"/>
        <v>0</v>
      </c>
      <c r="AU39" s="27">
        <f t="shared" si="20"/>
        <v>0</v>
      </c>
      <c r="AV39" s="27">
        <f t="shared" si="21"/>
        <v>0</v>
      </c>
      <c r="AW39" s="27">
        <f t="shared" si="21"/>
        <v>0</v>
      </c>
      <c r="AX39" s="27">
        <f t="shared" si="25"/>
        <v>0</v>
      </c>
      <c r="AY39" s="27">
        <v>0</v>
      </c>
      <c r="AZ39" s="27">
        <v>0</v>
      </c>
      <c r="BA39" s="27">
        <f t="shared" si="26"/>
        <v>0</v>
      </c>
      <c r="BB39" s="27">
        <v>0</v>
      </c>
      <c r="BC39" s="27">
        <v>0</v>
      </c>
      <c r="BD39" s="27">
        <f t="shared" si="10"/>
        <v>0</v>
      </c>
      <c r="BE39" s="27">
        <f t="shared" si="27"/>
        <v>0</v>
      </c>
      <c r="BF39" s="27">
        <f t="shared" si="27"/>
        <v>0</v>
      </c>
      <c r="BG39" s="27">
        <f t="shared" si="28"/>
        <v>0</v>
      </c>
      <c r="BH39" s="27">
        <f t="shared" si="11"/>
        <v>0</v>
      </c>
      <c r="BI39" s="27">
        <f t="shared" si="11"/>
        <v>0</v>
      </c>
      <c r="BJ39" s="27">
        <f t="shared" si="22"/>
        <v>0</v>
      </c>
      <c r="BK39" s="27">
        <f t="shared" si="23"/>
        <v>0</v>
      </c>
      <c r="BL39" s="27">
        <f t="shared" si="23"/>
        <v>0</v>
      </c>
      <c r="BM39" s="27">
        <f t="shared" si="24"/>
        <v>0</v>
      </c>
    </row>
    <row r="40" spans="1:70" ht="18.75" customHeight="1">
      <c r="A40" s="25">
        <v>35</v>
      </c>
      <c r="B40" s="26" t="s">
        <v>45</v>
      </c>
      <c r="C40" s="27">
        <v>3951</v>
      </c>
      <c r="D40" s="27">
        <v>3471</v>
      </c>
      <c r="E40" s="27">
        <f t="shared" si="0"/>
        <v>7422</v>
      </c>
      <c r="F40" s="27">
        <v>2017</v>
      </c>
      <c r="G40" s="27">
        <v>1887</v>
      </c>
      <c r="H40" s="27">
        <f t="shared" si="12"/>
        <v>3904</v>
      </c>
      <c r="I40" s="27">
        <v>2065</v>
      </c>
      <c r="J40" s="27">
        <v>1950</v>
      </c>
      <c r="K40" s="27">
        <f t="shared" si="1"/>
        <v>4015</v>
      </c>
      <c r="L40" s="27">
        <v>1961</v>
      </c>
      <c r="M40" s="27">
        <v>2005</v>
      </c>
      <c r="N40" s="27">
        <f t="shared" si="2"/>
        <v>3966</v>
      </c>
      <c r="O40" s="27">
        <v>2146</v>
      </c>
      <c r="P40" s="27">
        <v>1983</v>
      </c>
      <c r="Q40" s="27">
        <f t="shared" si="3"/>
        <v>4129</v>
      </c>
      <c r="R40" s="27">
        <v>2182</v>
      </c>
      <c r="S40" s="27">
        <v>2069</v>
      </c>
      <c r="T40" s="27">
        <f t="shared" si="4"/>
        <v>4251</v>
      </c>
      <c r="U40" s="27">
        <f t="shared" si="13"/>
        <v>10371</v>
      </c>
      <c r="V40" s="27">
        <f t="shared" si="13"/>
        <v>9894</v>
      </c>
      <c r="W40" s="27">
        <f t="shared" si="14"/>
        <v>20265</v>
      </c>
      <c r="X40" s="27">
        <v>2248</v>
      </c>
      <c r="Y40" s="27">
        <v>2232</v>
      </c>
      <c r="Z40" s="27">
        <f t="shared" si="5"/>
        <v>4480</v>
      </c>
      <c r="AA40" s="27">
        <v>2496</v>
      </c>
      <c r="AB40" s="27">
        <v>2445</v>
      </c>
      <c r="AC40" s="27">
        <f t="shared" si="6"/>
        <v>4941</v>
      </c>
      <c r="AD40" s="27">
        <v>2455</v>
      </c>
      <c r="AE40" s="27">
        <v>2315</v>
      </c>
      <c r="AF40" s="27">
        <f t="shared" si="7"/>
        <v>4770</v>
      </c>
      <c r="AG40" s="27">
        <f t="shared" si="15"/>
        <v>7199</v>
      </c>
      <c r="AH40" s="27">
        <f t="shared" si="15"/>
        <v>6992</v>
      </c>
      <c r="AI40" s="27">
        <f t="shared" si="16"/>
        <v>14191</v>
      </c>
      <c r="AJ40" s="27">
        <f t="shared" si="17"/>
        <v>17570</v>
      </c>
      <c r="AK40" s="27">
        <f t="shared" si="17"/>
        <v>16886</v>
      </c>
      <c r="AL40" s="27">
        <f t="shared" si="18"/>
        <v>34456</v>
      </c>
      <c r="AM40" s="27">
        <v>2692</v>
      </c>
      <c r="AN40" s="27">
        <v>2488</v>
      </c>
      <c r="AO40" s="27">
        <f t="shared" si="8"/>
        <v>5180</v>
      </c>
      <c r="AP40" s="27">
        <v>1860</v>
      </c>
      <c r="AQ40" s="27">
        <v>2018</v>
      </c>
      <c r="AR40" s="27">
        <f t="shared" si="9"/>
        <v>3878</v>
      </c>
      <c r="AS40" s="27">
        <f t="shared" si="19"/>
        <v>4552</v>
      </c>
      <c r="AT40" s="27">
        <f t="shared" si="19"/>
        <v>4506</v>
      </c>
      <c r="AU40" s="27">
        <f t="shared" si="20"/>
        <v>9058</v>
      </c>
      <c r="AV40" s="27">
        <f t="shared" si="21"/>
        <v>22122</v>
      </c>
      <c r="AW40" s="27">
        <f t="shared" si="21"/>
        <v>21392</v>
      </c>
      <c r="AX40" s="27">
        <f t="shared" si="25"/>
        <v>43514</v>
      </c>
      <c r="AY40" s="27">
        <v>1199</v>
      </c>
      <c r="AZ40" s="27">
        <v>1411</v>
      </c>
      <c r="BA40" s="27">
        <f t="shared" si="26"/>
        <v>2610</v>
      </c>
      <c r="BB40" s="27">
        <v>914</v>
      </c>
      <c r="BC40" s="27">
        <v>1153</v>
      </c>
      <c r="BD40" s="27">
        <f t="shared" si="10"/>
        <v>2067</v>
      </c>
      <c r="BE40" s="27">
        <f t="shared" si="27"/>
        <v>2113</v>
      </c>
      <c r="BF40" s="27">
        <f t="shared" si="27"/>
        <v>2564</v>
      </c>
      <c r="BG40" s="27">
        <f t="shared" si="28"/>
        <v>4677</v>
      </c>
      <c r="BH40" s="27">
        <f t="shared" si="11"/>
        <v>24235</v>
      </c>
      <c r="BI40" s="27">
        <f t="shared" si="11"/>
        <v>23956</v>
      </c>
      <c r="BJ40" s="27">
        <f t="shared" si="22"/>
        <v>48191</v>
      </c>
      <c r="BK40" s="27">
        <f t="shared" si="23"/>
        <v>28186</v>
      </c>
      <c r="BL40" s="27">
        <f t="shared" si="23"/>
        <v>27427</v>
      </c>
      <c r="BM40" s="27">
        <f t="shared" si="24"/>
        <v>55613</v>
      </c>
    </row>
    <row r="41" spans="1:70" s="83" customFormat="1" ht="18" customHeight="1">
      <c r="A41" s="286" t="s">
        <v>46</v>
      </c>
      <c r="B41" s="286"/>
      <c r="C41" s="93">
        <f>SUM(C6:C40)</f>
        <v>498074</v>
      </c>
      <c r="D41" s="93">
        <f>SUM(D6:D40)</f>
        <v>423168</v>
      </c>
      <c r="E41" s="93">
        <f t="shared" ref="E41:BM41" si="48">SUM(E6:E40)</f>
        <v>921242</v>
      </c>
      <c r="F41" s="93">
        <f t="shared" si="48"/>
        <v>3285626</v>
      </c>
      <c r="G41" s="93">
        <f t="shared" si="48"/>
        <v>3062346</v>
      </c>
      <c r="H41" s="94">
        <f t="shared" si="48"/>
        <v>6347972</v>
      </c>
      <c r="I41" s="94">
        <f t="shared" si="48"/>
        <v>3101374</v>
      </c>
      <c r="J41" s="94">
        <f t="shared" si="48"/>
        <v>2869152</v>
      </c>
      <c r="K41" s="94">
        <f t="shared" si="48"/>
        <v>5970526</v>
      </c>
      <c r="L41" s="94">
        <f t="shared" si="48"/>
        <v>2949551</v>
      </c>
      <c r="M41" s="94">
        <f t="shared" si="48"/>
        <v>2768619</v>
      </c>
      <c r="N41" s="94">
        <f t="shared" si="48"/>
        <v>5718170</v>
      </c>
      <c r="O41" s="94">
        <f t="shared" si="48"/>
        <v>2813695</v>
      </c>
      <c r="P41" s="94">
        <f t="shared" si="48"/>
        <v>2717349</v>
      </c>
      <c r="Q41" s="94">
        <f t="shared" si="48"/>
        <v>5531044</v>
      </c>
      <c r="R41" s="94">
        <f t="shared" si="48"/>
        <v>2645797</v>
      </c>
      <c r="S41" s="94">
        <f t="shared" si="48"/>
        <v>2473948</v>
      </c>
      <c r="T41" s="94">
        <f t="shared" si="48"/>
        <v>5119745</v>
      </c>
      <c r="U41" s="94">
        <f t="shared" si="48"/>
        <v>14796043</v>
      </c>
      <c r="V41" s="94">
        <f t="shared" si="48"/>
        <v>13891414</v>
      </c>
      <c r="W41" s="93">
        <f t="shared" si="48"/>
        <v>28687457</v>
      </c>
      <c r="X41" s="94">
        <f t="shared" si="48"/>
        <v>2241263</v>
      </c>
      <c r="Y41" s="94">
        <f t="shared" si="48"/>
        <v>2106417</v>
      </c>
      <c r="Z41" s="94">
        <f t="shared" si="48"/>
        <v>4347680</v>
      </c>
      <c r="AA41" s="94">
        <f t="shared" si="48"/>
        <v>2119311</v>
      </c>
      <c r="AB41" s="94">
        <f t="shared" si="48"/>
        <v>1984594</v>
      </c>
      <c r="AC41" s="93">
        <f t="shared" si="48"/>
        <v>4103905</v>
      </c>
      <c r="AD41" s="93">
        <f t="shared" si="48"/>
        <v>1963085</v>
      </c>
      <c r="AE41" s="93">
        <f t="shared" si="48"/>
        <v>1828312</v>
      </c>
      <c r="AF41" s="94">
        <f t="shared" si="48"/>
        <v>3791397</v>
      </c>
      <c r="AG41" s="93">
        <f t="shared" si="48"/>
        <v>6323659</v>
      </c>
      <c r="AH41" s="93">
        <f t="shared" si="48"/>
        <v>5919323</v>
      </c>
      <c r="AI41" s="93">
        <f t="shared" si="48"/>
        <v>12242982</v>
      </c>
      <c r="AJ41" s="93">
        <f t="shared" si="48"/>
        <v>21119702</v>
      </c>
      <c r="AK41" s="93">
        <f t="shared" si="48"/>
        <v>19810737</v>
      </c>
      <c r="AL41" s="93">
        <f t="shared" si="48"/>
        <v>40930439</v>
      </c>
      <c r="AM41" s="93">
        <f t="shared" si="48"/>
        <v>1892335</v>
      </c>
      <c r="AN41" s="93">
        <f t="shared" si="48"/>
        <v>1646923</v>
      </c>
      <c r="AO41" s="94">
        <f t="shared" si="48"/>
        <v>3539258</v>
      </c>
      <c r="AP41" s="94">
        <f t="shared" si="48"/>
        <v>1625438</v>
      </c>
      <c r="AQ41" s="94">
        <f t="shared" si="48"/>
        <v>1443631</v>
      </c>
      <c r="AR41" s="94">
        <f t="shared" si="48"/>
        <v>3069069</v>
      </c>
      <c r="AS41" s="94">
        <f t="shared" si="48"/>
        <v>3517773</v>
      </c>
      <c r="AT41" s="94">
        <f t="shared" si="48"/>
        <v>3090554</v>
      </c>
      <c r="AU41" s="94">
        <f t="shared" si="48"/>
        <v>6608327</v>
      </c>
      <c r="AV41" s="94">
        <f t="shared" si="48"/>
        <v>24637475</v>
      </c>
      <c r="AW41" s="94">
        <f t="shared" si="48"/>
        <v>22901291</v>
      </c>
      <c r="AX41" s="94">
        <f t="shared" si="48"/>
        <v>47538766</v>
      </c>
      <c r="AY41" s="94">
        <f t="shared" si="48"/>
        <v>1084926</v>
      </c>
      <c r="AZ41" s="94">
        <f t="shared" si="48"/>
        <v>924979</v>
      </c>
      <c r="BA41" s="94">
        <f t="shared" si="48"/>
        <v>2009905</v>
      </c>
      <c r="BB41" s="94">
        <f t="shared" si="48"/>
        <v>956567</v>
      </c>
      <c r="BC41" s="94">
        <f t="shared" si="48"/>
        <v>829187</v>
      </c>
      <c r="BD41" s="94">
        <f t="shared" si="48"/>
        <v>1785754</v>
      </c>
      <c r="BE41" s="94">
        <f>SUM(BE6:BE40)</f>
        <v>2043006</v>
      </c>
      <c r="BF41" s="94">
        <f t="shared" si="48"/>
        <v>1756966</v>
      </c>
      <c r="BG41" s="94">
        <f t="shared" si="48"/>
        <v>3799972</v>
      </c>
      <c r="BH41" s="94">
        <f t="shared" si="48"/>
        <v>26680481</v>
      </c>
      <c r="BI41" s="94">
        <f t="shared" si="48"/>
        <v>24658257</v>
      </c>
      <c r="BJ41" s="94">
        <f t="shared" si="48"/>
        <v>51338738</v>
      </c>
      <c r="BK41" s="94">
        <f t="shared" si="48"/>
        <v>27178555</v>
      </c>
      <c r="BL41" s="94">
        <f t="shared" si="48"/>
        <v>25081425</v>
      </c>
      <c r="BM41" s="94">
        <f t="shared" si="48"/>
        <v>52259980</v>
      </c>
    </row>
    <row r="42" spans="1:70">
      <c r="A42" s="24"/>
      <c r="B42" s="24"/>
      <c r="C42" s="251"/>
      <c r="D42" s="32"/>
      <c r="E42" s="37"/>
      <c r="F42" s="32"/>
      <c r="G42" s="32"/>
      <c r="H42" s="32"/>
      <c r="I42" s="32"/>
      <c r="J42" s="32"/>
      <c r="K42" s="252"/>
      <c r="L42" s="32"/>
      <c r="M42" s="32"/>
      <c r="N42" s="252"/>
      <c r="O42" s="32"/>
      <c r="P42" s="32"/>
      <c r="Q42" s="252"/>
      <c r="R42" s="32"/>
      <c r="S42" s="32"/>
      <c r="T42" s="252"/>
      <c r="U42" s="32"/>
      <c r="V42" s="32"/>
      <c r="W42" s="252"/>
      <c r="X42" s="32"/>
      <c r="Y42" s="32"/>
      <c r="Z42" s="252"/>
      <c r="AA42" s="32"/>
      <c r="AB42" s="32"/>
      <c r="AC42" s="25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252"/>
      <c r="AS42" s="32"/>
      <c r="AT42" s="32"/>
      <c r="AU42" s="252"/>
      <c r="AV42" s="32"/>
      <c r="AW42" s="32"/>
      <c r="AX42" s="252"/>
      <c r="AY42" s="32"/>
      <c r="AZ42" s="32"/>
      <c r="BA42" s="253"/>
      <c r="BB42" s="254"/>
      <c r="BC42" s="254"/>
      <c r="BD42" s="253"/>
      <c r="BE42" s="254"/>
      <c r="BF42" s="254"/>
      <c r="BG42" s="253"/>
      <c r="BH42" s="254"/>
      <c r="BI42" s="254"/>
      <c r="BJ42" s="253"/>
      <c r="BK42" s="254"/>
      <c r="BL42" s="254"/>
      <c r="BM42" s="253"/>
    </row>
    <row r="43" spans="1:70">
      <c r="Q43" s="5" t="s">
        <v>206</v>
      </c>
      <c r="R43" s="5">
        <v>14796043</v>
      </c>
      <c r="S43" s="5">
        <v>13891414</v>
      </c>
      <c r="T43" s="5">
        <v>28687457</v>
      </c>
      <c r="U43" s="5">
        <v>6323659</v>
      </c>
      <c r="V43" s="39">
        <v>5919323</v>
      </c>
      <c r="W43" s="5">
        <v>12242982</v>
      </c>
      <c r="X43" s="5">
        <v>3517773</v>
      </c>
      <c r="Y43" s="5">
        <v>3090554</v>
      </c>
      <c r="Z43" s="5">
        <v>6608327</v>
      </c>
      <c r="AA43" s="5">
        <v>2043006</v>
      </c>
      <c r="AB43" s="5">
        <v>1756966</v>
      </c>
      <c r="AC43" s="5">
        <v>3799972</v>
      </c>
      <c r="AE43" s="38"/>
      <c r="AS43" s="39"/>
      <c r="AT43" s="39"/>
      <c r="AU43" s="39"/>
      <c r="AV43" s="39"/>
      <c r="AW43" s="39"/>
      <c r="AX43" s="39"/>
      <c r="BE43" s="39"/>
      <c r="BF43" s="39"/>
      <c r="BG43" s="39"/>
    </row>
    <row r="44" spans="1:70">
      <c r="R44" s="5">
        <f>R43/1000000</f>
        <v>14.796042999999999</v>
      </c>
      <c r="S44" s="5">
        <f t="shared" ref="S44:U44" si="49">S43/1000000</f>
        <v>13.891413999999999</v>
      </c>
      <c r="T44" s="5">
        <f t="shared" si="49"/>
        <v>28.687456999999998</v>
      </c>
      <c r="U44" s="5">
        <f t="shared" si="49"/>
        <v>6.3236590000000001</v>
      </c>
      <c r="V44" s="5">
        <f t="shared" ref="V44" si="50">V43/1000000</f>
        <v>5.9193230000000003</v>
      </c>
      <c r="W44" s="5">
        <f t="shared" ref="W44:X44" si="51">W43/1000000</f>
        <v>12.242982</v>
      </c>
      <c r="X44" s="5">
        <f t="shared" si="51"/>
        <v>3.517773</v>
      </c>
      <c r="Y44" s="5">
        <f t="shared" ref="Y44" si="52">Y43/1000000</f>
        <v>3.090554</v>
      </c>
      <c r="Z44" s="5">
        <f t="shared" ref="Z44:AA44" si="53">Z43/1000000</f>
        <v>6.6083270000000001</v>
      </c>
      <c r="AA44" s="5">
        <f t="shared" si="53"/>
        <v>2.0430060000000001</v>
      </c>
      <c r="AB44" s="5">
        <f t="shared" ref="AB44" si="54">AB43/1000000</f>
        <v>1.756966</v>
      </c>
      <c r="AC44" s="5">
        <f t="shared" ref="AC44" si="55">AC43/1000000</f>
        <v>3.7999719999999999</v>
      </c>
      <c r="BH44" s="40"/>
      <c r="BI44" s="40"/>
      <c r="BJ44" s="40"/>
    </row>
    <row r="45" spans="1:70">
      <c r="BH45" s="40"/>
      <c r="BI45" s="40"/>
      <c r="BJ45" s="40"/>
    </row>
    <row r="46" spans="1:70">
      <c r="BH46" s="39"/>
      <c r="BI46" s="39"/>
      <c r="BJ46" s="39"/>
    </row>
    <row r="52" s="41" customFormat="1"/>
  </sheetData>
  <mergeCells count="24">
    <mergeCell ref="AS3:AU3"/>
    <mergeCell ref="AV3:AX3"/>
    <mergeCell ref="O3:Q3"/>
    <mergeCell ref="R3:T3"/>
    <mergeCell ref="U3:W3"/>
    <mergeCell ref="X3:Z3"/>
    <mergeCell ref="AA3:AC3"/>
    <mergeCell ref="AD3:AF3"/>
    <mergeCell ref="A41:B41"/>
    <mergeCell ref="AG3:AI3"/>
    <mergeCell ref="AJ3:AL3"/>
    <mergeCell ref="AM3:AO3"/>
    <mergeCell ref="AP3:AR3"/>
    <mergeCell ref="A3:A4"/>
    <mergeCell ref="B3:B4"/>
    <mergeCell ref="C3:E3"/>
    <mergeCell ref="F3:H3"/>
    <mergeCell ref="I3:K3"/>
    <mergeCell ref="L3:N3"/>
    <mergeCell ref="AY3:BA3"/>
    <mergeCell ref="BB3:BD3"/>
    <mergeCell ref="BE3:BG3"/>
    <mergeCell ref="BH3:BJ3"/>
    <mergeCell ref="BK3:BM3"/>
  </mergeCells>
  <printOptions horizontalCentered="1"/>
  <pageMargins left="0.19685039370078741" right="0.23622047244094491" top="0.31496062992125984" bottom="0.59055118110236227" header="0.19685039370078741" footer="0.31496062992125984"/>
  <pageSetup paperSize="9" scale="98" firstPageNumber="17" orientation="portrait" useFirstPageNumber="1" r:id="rId1"/>
  <headerFooter alignWithMargins="0">
    <oddFooter>&amp;LSTATISTICS OF SCHOOL EDUCATION 2011-12&amp;R&amp;P</oddFooter>
  </headerFooter>
  <colBreaks count="9" manualBreakCount="9">
    <brk id="8" max="40" man="1"/>
    <brk id="14" max="40" man="1"/>
    <brk id="20" max="40" man="1"/>
    <brk id="26" max="40" man="1"/>
    <brk id="32" max="40" man="1"/>
    <brk id="38" max="40" man="1"/>
    <brk id="44" max="40" man="1"/>
    <brk id="50" max="40" man="1"/>
    <brk id="56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BM47"/>
  <sheetViews>
    <sheetView view="pageBreakPreview" topLeftCell="T1" zoomScaleSheetLayoutView="100" workbookViewId="0">
      <selection activeCell="W42" sqref="W42"/>
    </sheetView>
  </sheetViews>
  <sheetFormatPr defaultColWidth="8.85546875" defaultRowHeight="15.75"/>
  <cols>
    <col min="1" max="1" width="6.140625" style="5" customWidth="1"/>
    <col min="2" max="2" width="20.28515625" style="5" customWidth="1"/>
    <col min="3" max="47" width="11.5703125" style="5" customWidth="1"/>
    <col min="48" max="50" width="12.7109375" style="5" customWidth="1"/>
    <col min="51" max="59" width="11.5703125" style="5" customWidth="1"/>
    <col min="60" max="60" width="12.5703125" style="5" customWidth="1"/>
    <col min="61" max="61" width="13.140625" style="5" customWidth="1"/>
    <col min="62" max="62" width="12.5703125" style="5" customWidth="1"/>
    <col min="63" max="65" width="15" style="5" customWidth="1"/>
    <col min="66" max="66" width="8.85546875" style="5"/>
    <col min="67" max="67" width="9" style="5" bestFit="1" customWidth="1"/>
    <col min="68" max="248" width="8.85546875" style="5"/>
    <col min="249" max="249" width="6.140625" style="5" customWidth="1"/>
    <col min="250" max="250" width="20.28515625" style="5" customWidth="1"/>
    <col min="251" max="251" width="12.42578125" style="5" customWidth="1"/>
    <col min="252" max="252" width="13" style="5" customWidth="1"/>
    <col min="253" max="253" width="12.5703125" style="5" customWidth="1"/>
    <col min="254" max="267" width="11.7109375" style="5" customWidth="1"/>
    <col min="268" max="268" width="12.28515625" style="5" customWidth="1"/>
    <col min="269" max="269" width="11.7109375" style="5" customWidth="1"/>
    <col min="270" max="270" width="12.85546875" style="5" customWidth="1"/>
    <col min="271" max="271" width="11.7109375" style="5" customWidth="1"/>
    <col min="272" max="272" width="12.7109375" style="5" customWidth="1"/>
    <col min="273" max="273" width="11.7109375" style="5" customWidth="1"/>
    <col min="274" max="274" width="13" style="5" customWidth="1"/>
    <col min="275" max="286" width="11.7109375" style="5" customWidth="1"/>
    <col min="287" max="287" width="12.5703125" style="5" customWidth="1"/>
    <col min="288" max="288" width="11.7109375" style="5" customWidth="1"/>
    <col min="289" max="289" width="13" style="5" customWidth="1"/>
    <col min="290" max="295" width="11.7109375" style="5" customWidth="1"/>
    <col min="296" max="296" width="13.7109375" style="5" customWidth="1"/>
    <col min="297" max="297" width="13.140625" style="5" customWidth="1"/>
    <col min="298" max="301" width="13" style="5" customWidth="1"/>
    <col min="302" max="308" width="11.7109375" style="5" customWidth="1"/>
    <col min="309" max="309" width="10.85546875" style="5" customWidth="1"/>
    <col min="310" max="310" width="11.7109375" style="5" customWidth="1"/>
    <col min="311" max="313" width="22.7109375" style="5" customWidth="1"/>
    <col min="314" max="316" width="20.7109375" style="5" customWidth="1"/>
    <col min="317" max="504" width="8.85546875" style="5"/>
    <col min="505" max="505" width="6.140625" style="5" customWidth="1"/>
    <col min="506" max="506" width="20.28515625" style="5" customWidth="1"/>
    <col min="507" max="507" width="12.42578125" style="5" customWidth="1"/>
    <col min="508" max="508" width="13" style="5" customWidth="1"/>
    <col min="509" max="509" width="12.5703125" style="5" customWidth="1"/>
    <col min="510" max="523" width="11.7109375" style="5" customWidth="1"/>
    <col min="524" max="524" width="12.28515625" style="5" customWidth="1"/>
    <col min="525" max="525" width="11.7109375" style="5" customWidth="1"/>
    <col min="526" max="526" width="12.85546875" style="5" customWidth="1"/>
    <col min="527" max="527" width="11.7109375" style="5" customWidth="1"/>
    <col min="528" max="528" width="12.7109375" style="5" customWidth="1"/>
    <col min="529" max="529" width="11.7109375" style="5" customWidth="1"/>
    <col min="530" max="530" width="13" style="5" customWidth="1"/>
    <col min="531" max="542" width="11.7109375" style="5" customWidth="1"/>
    <col min="543" max="543" width="12.5703125" style="5" customWidth="1"/>
    <col min="544" max="544" width="11.7109375" style="5" customWidth="1"/>
    <col min="545" max="545" width="13" style="5" customWidth="1"/>
    <col min="546" max="551" width="11.7109375" style="5" customWidth="1"/>
    <col min="552" max="552" width="13.7109375" style="5" customWidth="1"/>
    <col min="553" max="553" width="13.140625" style="5" customWidth="1"/>
    <col min="554" max="557" width="13" style="5" customWidth="1"/>
    <col min="558" max="564" width="11.7109375" style="5" customWidth="1"/>
    <col min="565" max="565" width="10.85546875" style="5" customWidth="1"/>
    <col min="566" max="566" width="11.7109375" style="5" customWidth="1"/>
    <col min="567" max="569" width="22.7109375" style="5" customWidth="1"/>
    <col min="570" max="572" width="20.7109375" style="5" customWidth="1"/>
    <col min="573" max="760" width="8.85546875" style="5"/>
    <col min="761" max="761" width="6.140625" style="5" customWidth="1"/>
    <col min="762" max="762" width="20.28515625" style="5" customWidth="1"/>
    <col min="763" max="763" width="12.42578125" style="5" customWidth="1"/>
    <col min="764" max="764" width="13" style="5" customWidth="1"/>
    <col min="765" max="765" width="12.5703125" style="5" customWidth="1"/>
    <col min="766" max="779" width="11.7109375" style="5" customWidth="1"/>
    <col min="780" max="780" width="12.28515625" style="5" customWidth="1"/>
    <col min="781" max="781" width="11.7109375" style="5" customWidth="1"/>
    <col min="782" max="782" width="12.85546875" style="5" customWidth="1"/>
    <col min="783" max="783" width="11.7109375" style="5" customWidth="1"/>
    <col min="784" max="784" width="12.7109375" style="5" customWidth="1"/>
    <col min="785" max="785" width="11.7109375" style="5" customWidth="1"/>
    <col min="786" max="786" width="13" style="5" customWidth="1"/>
    <col min="787" max="798" width="11.7109375" style="5" customWidth="1"/>
    <col min="799" max="799" width="12.5703125" style="5" customWidth="1"/>
    <col min="800" max="800" width="11.7109375" style="5" customWidth="1"/>
    <col min="801" max="801" width="13" style="5" customWidth="1"/>
    <col min="802" max="807" width="11.7109375" style="5" customWidth="1"/>
    <col min="808" max="808" width="13.7109375" style="5" customWidth="1"/>
    <col min="809" max="809" width="13.140625" style="5" customWidth="1"/>
    <col min="810" max="813" width="13" style="5" customWidth="1"/>
    <col min="814" max="820" width="11.7109375" style="5" customWidth="1"/>
    <col min="821" max="821" width="10.85546875" style="5" customWidth="1"/>
    <col min="822" max="822" width="11.7109375" style="5" customWidth="1"/>
    <col min="823" max="825" width="22.7109375" style="5" customWidth="1"/>
    <col min="826" max="828" width="20.7109375" style="5" customWidth="1"/>
    <col min="829" max="1016" width="8.85546875" style="5"/>
    <col min="1017" max="1017" width="6.140625" style="5" customWidth="1"/>
    <col min="1018" max="1018" width="20.28515625" style="5" customWidth="1"/>
    <col min="1019" max="1019" width="12.42578125" style="5" customWidth="1"/>
    <col min="1020" max="1020" width="13" style="5" customWidth="1"/>
    <col min="1021" max="1021" width="12.5703125" style="5" customWidth="1"/>
    <col min="1022" max="1035" width="11.7109375" style="5" customWidth="1"/>
    <col min="1036" max="1036" width="12.28515625" style="5" customWidth="1"/>
    <col min="1037" max="1037" width="11.7109375" style="5" customWidth="1"/>
    <col min="1038" max="1038" width="12.85546875" style="5" customWidth="1"/>
    <col min="1039" max="1039" width="11.7109375" style="5" customWidth="1"/>
    <col min="1040" max="1040" width="12.7109375" style="5" customWidth="1"/>
    <col min="1041" max="1041" width="11.7109375" style="5" customWidth="1"/>
    <col min="1042" max="1042" width="13" style="5" customWidth="1"/>
    <col min="1043" max="1054" width="11.7109375" style="5" customWidth="1"/>
    <col min="1055" max="1055" width="12.5703125" style="5" customWidth="1"/>
    <col min="1056" max="1056" width="11.7109375" style="5" customWidth="1"/>
    <col min="1057" max="1057" width="13" style="5" customWidth="1"/>
    <col min="1058" max="1063" width="11.7109375" style="5" customWidth="1"/>
    <col min="1064" max="1064" width="13.7109375" style="5" customWidth="1"/>
    <col min="1065" max="1065" width="13.140625" style="5" customWidth="1"/>
    <col min="1066" max="1069" width="13" style="5" customWidth="1"/>
    <col min="1070" max="1076" width="11.7109375" style="5" customWidth="1"/>
    <col min="1077" max="1077" width="10.85546875" style="5" customWidth="1"/>
    <col min="1078" max="1078" width="11.7109375" style="5" customWidth="1"/>
    <col min="1079" max="1081" width="22.7109375" style="5" customWidth="1"/>
    <col min="1082" max="1084" width="20.7109375" style="5" customWidth="1"/>
    <col min="1085" max="1272" width="8.85546875" style="5"/>
    <col min="1273" max="1273" width="6.140625" style="5" customWidth="1"/>
    <col min="1274" max="1274" width="20.28515625" style="5" customWidth="1"/>
    <col min="1275" max="1275" width="12.42578125" style="5" customWidth="1"/>
    <col min="1276" max="1276" width="13" style="5" customWidth="1"/>
    <col min="1277" max="1277" width="12.5703125" style="5" customWidth="1"/>
    <col min="1278" max="1291" width="11.7109375" style="5" customWidth="1"/>
    <col min="1292" max="1292" width="12.28515625" style="5" customWidth="1"/>
    <col min="1293" max="1293" width="11.7109375" style="5" customWidth="1"/>
    <col min="1294" max="1294" width="12.85546875" style="5" customWidth="1"/>
    <col min="1295" max="1295" width="11.7109375" style="5" customWidth="1"/>
    <col min="1296" max="1296" width="12.7109375" style="5" customWidth="1"/>
    <col min="1297" max="1297" width="11.7109375" style="5" customWidth="1"/>
    <col min="1298" max="1298" width="13" style="5" customWidth="1"/>
    <col min="1299" max="1310" width="11.7109375" style="5" customWidth="1"/>
    <col min="1311" max="1311" width="12.5703125" style="5" customWidth="1"/>
    <col min="1312" max="1312" width="11.7109375" style="5" customWidth="1"/>
    <col min="1313" max="1313" width="13" style="5" customWidth="1"/>
    <col min="1314" max="1319" width="11.7109375" style="5" customWidth="1"/>
    <col min="1320" max="1320" width="13.7109375" style="5" customWidth="1"/>
    <col min="1321" max="1321" width="13.140625" style="5" customWidth="1"/>
    <col min="1322" max="1325" width="13" style="5" customWidth="1"/>
    <col min="1326" max="1332" width="11.7109375" style="5" customWidth="1"/>
    <col min="1333" max="1333" width="10.85546875" style="5" customWidth="1"/>
    <col min="1334" max="1334" width="11.7109375" style="5" customWidth="1"/>
    <col min="1335" max="1337" width="22.7109375" style="5" customWidth="1"/>
    <col min="1338" max="1340" width="20.7109375" style="5" customWidth="1"/>
    <col min="1341" max="1528" width="8.85546875" style="5"/>
    <col min="1529" max="1529" width="6.140625" style="5" customWidth="1"/>
    <col min="1530" max="1530" width="20.28515625" style="5" customWidth="1"/>
    <col min="1531" max="1531" width="12.42578125" style="5" customWidth="1"/>
    <col min="1532" max="1532" width="13" style="5" customWidth="1"/>
    <col min="1533" max="1533" width="12.5703125" style="5" customWidth="1"/>
    <col min="1534" max="1547" width="11.7109375" style="5" customWidth="1"/>
    <col min="1548" max="1548" width="12.28515625" style="5" customWidth="1"/>
    <col min="1549" max="1549" width="11.7109375" style="5" customWidth="1"/>
    <col min="1550" max="1550" width="12.85546875" style="5" customWidth="1"/>
    <col min="1551" max="1551" width="11.7109375" style="5" customWidth="1"/>
    <col min="1552" max="1552" width="12.7109375" style="5" customWidth="1"/>
    <col min="1553" max="1553" width="11.7109375" style="5" customWidth="1"/>
    <col min="1554" max="1554" width="13" style="5" customWidth="1"/>
    <col min="1555" max="1566" width="11.7109375" style="5" customWidth="1"/>
    <col min="1567" max="1567" width="12.5703125" style="5" customWidth="1"/>
    <col min="1568" max="1568" width="11.7109375" style="5" customWidth="1"/>
    <col min="1569" max="1569" width="13" style="5" customWidth="1"/>
    <col min="1570" max="1575" width="11.7109375" style="5" customWidth="1"/>
    <col min="1576" max="1576" width="13.7109375" style="5" customWidth="1"/>
    <col min="1577" max="1577" width="13.140625" style="5" customWidth="1"/>
    <col min="1578" max="1581" width="13" style="5" customWidth="1"/>
    <col min="1582" max="1588" width="11.7109375" style="5" customWidth="1"/>
    <col min="1589" max="1589" width="10.85546875" style="5" customWidth="1"/>
    <col min="1590" max="1590" width="11.7109375" style="5" customWidth="1"/>
    <col min="1591" max="1593" width="22.7109375" style="5" customWidth="1"/>
    <col min="1594" max="1596" width="20.7109375" style="5" customWidth="1"/>
    <col min="1597" max="1784" width="8.85546875" style="5"/>
    <col min="1785" max="1785" width="6.140625" style="5" customWidth="1"/>
    <col min="1786" max="1786" width="20.28515625" style="5" customWidth="1"/>
    <col min="1787" max="1787" width="12.42578125" style="5" customWidth="1"/>
    <col min="1788" max="1788" width="13" style="5" customWidth="1"/>
    <col min="1789" max="1789" width="12.5703125" style="5" customWidth="1"/>
    <col min="1790" max="1803" width="11.7109375" style="5" customWidth="1"/>
    <col min="1804" max="1804" width="12.28515625" style="5" customWidth="1"/>
    <col min="1805" max="1805" width="11.7109375" style="5" customWidth="1"/>
    <col min="1806" max="1806" width="12.85546875" style="5" customWidth="1"/>
    <col min="1807" max="1807" width="11.7109375" style="5" customWidth="1"/>
    <col min="1808" max="1808" width="12.7109375" style="5" customWidth="1"/>
    <col min="1809" max="1809" width="11.7109375" style="5" customWidth="1"/>
    <col min="1810" max="1810" width="13" style="5" customWidth="1"/>
    <col min="1811" max="1822" width="11.7109375" style="5" customWidth="1"/>
    <col min="1823" max="1823" width="12.5703125" style="5" customWidth="1"/>
    <col min="1824" max="1824" width="11.7109375" style="5" customWidth="1"/>
    <col min="1825" max="1825" width="13" style="5" customWidth="1"/>
    <col min="1826" max="1831" width="11.7109375" style="5" customWidth="1"/>
    <col min="1832" max="1832" width="13.7109375" style="5" customWidth="1"/>
    <col min="1833" max="1833" width="13.140625" style="5" customWidth="1"/>
    <col min="1834" max="1837" width="13" style="5" customWidth="1"/>
    <col min="1838" max="1844" width="11.7109375" style="5" customWidth="1"/>
    <col min="1845" max="1845" width="10.85546875" style="5" customWidth="1"/>
    <col min="1846" max="1846" width="11.7109375" style="5" customWidth="1"/>
    <col min="1847" max="1849" width="22.7109375" style="5" customWidth="1"/>
    <col min="1850" max="1852" width="20.7109375" style="5" customWidth="1"/>
    <col min="1853" max="2040" width="8.85546875" style="5"/>
    <col min="2041" max="2041" width="6.140625" style="5" customWidth="1"/>
    <col min="2042" max="2042" width="20.28515625" style="5" customWidth="1"/>
    <col min="2043" max="2043" width="12.42578125" style="5" customWidth="1"/>
    <col min="2044" max="2044" width="13" style="5" customWidth="1"/>
    <col min="2045" max="2045" width="12.5703125" style="5" customWidth="1"/>
    <col min="2046" max="2059" width="11.7109375" style="5" customWidth="1"/>
    <col min="2060" max="2060" width="12.28515625" style="5" customWidth="1"/>
    <col min="2061" max="2061" width="11.7109375" style="5" customWidth="1"/>
    <col min="2062" max="2062" width="12.85546875" style="5" customWidth="1"/>
    <col min="2063" max="2063" width="11.7109375" style="5" customWidth="1"/>
    <col min="2064" max="2064" width="12.7109375" style="5" customWidth="1"/>
    <col min="2065" max="2065" width="11.7109375" style="5" customWidth="1"/>
    <col min="2066" max="2066" width="13" style="5" customWidth="1"/>
    <col min="2067" max="2078" width="11.7109375" style="5" customWidth="1"/>
    <col min="2079" max="2079" width="12.5703125" style="5" customWidth="1"/>
    <col min="2080" max="2080" width="11.7109375" style="5" customWidth="1"/>
    <col min="2081" max="2081" width="13" style="5" customWidth="1"/>
    <col min="2082" max="2087" width="11.7109375" style="5" customWidth="1"/>
    <col min="2088" max="2088" width="13.7109375" style="5" customWidth="1"/>
    <col min="2089" max="2089" width="13.140625" style="5" customWidth="1"/>
    <col min="2090" max="2093" width="13" style="5" customWidth="1"/>
    <col min="2094" max="2100" width="11.7109375" style="5" customWidth="1"/>
    <col min="2101" max="2101" width="10.85546875" style="5" customWidth="1"/>
    <col min="2102" max="2102" width="11.7109375" style="5" customWidth="1"/>
    <col min="2103" max="2105" width="22.7109375" style="5" customWidth="1"/>
    <col min="2106" max="2108" width="20.7109375" style="5" customWidth="1"/>
    <col min="2109" max="2296" width="8.85546875" style="5"/>
    <col min="2297" max="2297" width="6.140625" style="5" customWidth="1"/>
    <col min="2298" max="2298" width="20.28515625" style="5" customWidth="1"/>
    <col min="2299" max="2299" width="12.42578125" style="5" customWidth="1"/>
    <col min="2300" max="2300" width="13" style="5" customWidth="1"/>
    <col min="2301" max="2301" width="12.5703125" style="5" customWidth="1"/>
    <col min="2302" max="2315" width="11.7109375" style="5" customWidth="1"/>
    <col min="2316" max="2316" width="12.28515625" style="5" customWidth="1"/>
    <col min="2317" max="2317" width="11.7109375" style="5" customWidth="1"/>
    <col min="2318" max="2318" width="12.85546875" style="5" customWidth="1"/>
    <col min="2319" max="2319" width="11.7109375" style="5" customWidth="1"/>
    <col min="2320" max="2320" width="12.7109375" style="5" customWidth="1"/>
    <col min="2321" max="2321" width="11.7109375" style="5" customWidth="1"/>
    <col min="2322" max="2322" width="13" style="5" customWidth="1"/>
    <col min="2323" max="2334" width="11.7109375" style="5" customWidth="1"/>
    <col min="2335" max="2335" width="12.5703125" style="5" customWidth="1"/>
    <col min="2336" max="2336" width="11.7109375" style="5" customWidth="1"/>
    <col min="2337" max="2337" width="13" style="5" customWidth="1"/>
    <col min="2338" max="2343" width="11.7109375" style="5" customWidth="1"/>
    <col min="2344" max="2344" width="13.7109375" style="5" customWidth="1"/>
    <col min="2345" max="2345" width="13.140625" style="5" customWidth="1"/>
    <col min="2346" max="2349" width="13" style="5" customWidth="1"/>
    <col min="2350" max="2356" width="11.7109375" style="5" customWidth="1"/>
    <col min="2357" max="2357" width="10.85546875" style="5" customWidth="1"/>
    <col min="2358" max="2358" width="11.7109375" style="5" customWidth="1"/>
    <col min="2359" max="2361" width="22.7109375" style="5" customWidth="1"/>
    <col min="2362" max="2364" width="20.7109375" style="5" customWidth="1"/>
    <col min="2365" max="2552" width="8.85546875" style="5"/>
    <col min="2553" max="2553" width="6.140625" style="5" customWidth="1"/>
    <col min="2554" max="2554" width="20.28515625" style="5" customWidth="1"/>
    <col min="2555" max="2555" width="12.42578125" style="5" customWidth="1"/>
    <col min="2556" max="2556" width="13" style="5" customWidth="1"/>
    <col min="2557" max="2557" width="12.5703125" style="5" customWidth="1"/>
    <col min="2558" max="2571" width="11.7109375" style="5" customWidth="1"/>
    <col min="2572" max="2572" width="12.28515625" style="5" customWidth="1"/>
    <col min="2573" max="2573" width="11.7109375" style="5" customWidth="1"/>
    <col min="2574" max="2574" width="12.85546875" style="5" customWidth="1"/>
    <col min="2575" max="2575" width="11.7109375" style="5" customWidth="1"/>
    <col min="2576" max="2576" width="12.7109375" style="5" customWidth="1"/>
    <col min="2577" max="2577" width="11.7109375" style="5" customWidth="1"/>
    <col min="2578" max="2578" width="13" style="5" customWidth="1"/>
    <col min="2579" max="2590" width="11.7109375" style="5" customWidth="1"/>
    <col min="2591" max="2591" width="12.5703125" style="5" customWidth="1"/>
    <col min="2592" max="2592" width="11.7109375" style="5" customWidth="1"/>
    <col min="2593" max="2593" width="13" style="5" customWidth="1"/>
    <col min="2594" max="2599" width="11.7109375" style="5" customWidth="1"/>
    <col min="2600" max="2600" width="13.7109375" style="5" customWidth="1"/>
    <col min="2601" max="2601" width="13.140625" style="5" customWidth="1"/>
    <col min="2602" max="2605" width="13" style="5" customWidth="1"/>
    <col min="2606" max="2612" width="11.7109375" style="5" customWidth="1"/>
    <col min="2613" max="2613" width="10.85546875" style="5" customWidth="1"/>
    <col min="2614" max="2614" width="11.7109375" style="5" customWidth="1"/>
    <col min="2615" max="2617" width="22.7109375" style="5" customWidth="1"/>
    <col min="2618" max="2620" width="20.7109375" style="5" customWidth="1"/>
    <col min="2621" max="2808" width="8.85546875" style="5"/>
    <col min="2809" max="2809" width="6.140625" style="5" customWidth="1"/>
    <col min="2810" max="2810" width="20.28515625" style="5" customWidth="1"/>
    <col min="2811" max="2811" width="12.42578125" style="5" customWidth="1"/>
    <col min="2812" max="2812" width="13" style="5" customWidth="1"/>
    <col min="2813" max="2813" width="12.5703125" style="5" customWidth="1"/>
    <col min="2814" max="2827" width="11.7109375" style="5" customWidth="1"/>
    <col min="2828" max="2828" width="12.28515625" style="5" customWidth="1"/>
    <col min="2829" max="2829" width="11.7109375" style="5" customWidth="1"/>
    <col min="2830" max="2830" width="12.85546875" style="5" customWidth="1"/>
    <col min="2831" max="2831" width="11.7109375" style="5" customWidth="1"/>
    <col min="2832" max="2832" width="12.7109375" style="5" customWidth="1"/>
    <col min="2833" max="2833" width="11.7109375" style="5" customWidth="1"/>
    <col min="2834" max="2834" width="13" style="5" customWidth="1"/>
    <col min="2835" max="2846" width="11.7109375" style="5" customWidth="1"/>
    <col min="2847" max="2847" width="12.5703125" style="5" customWidth="1"/>
    <col min="2848" max="2848" width="11.7109375" style="5" customWidth="1"/>
    <col min="2849" max="2849" width="13" style="5" customWidth="1"/>
    <col min="2850" max="2855" width="11.7109375" style="5" customWidth="1"/>
    <col min="2856" max="2856" width="13.7109375" style="5" customWidth="1"/>
    <col min="2857" max="2857" width="13.140625" style="5" customWidth="1"/>
    <col min="2858" max="2861" width="13" style="5" customWidth="1"/>
    <col min="2862" max="2868" width="11.7109375" style="5" customWidth="1"/>
    <col min="2869" max="2869" width="10.85546875" style="5" customWidth="1"/>
    <col min="2870" max="2870" width="11.7109375" style="5" customWidth="1"/>
    <col min="2871" max="2873" width="22.7109375" style="5" customWidth="1"/>
    <col min="2874" max="2876" width="20.7109375" style="5" customWidth="1"/>
    <col min="2877" max="3064" width="8.85546875" style="5"/>
    <col min="3065" max="3065" width="6.140625" style="5" customWidth="1"/>
    <col min="3066" max="3066" width="20.28515625" style="5" customWidth="1"/>
    <col min="3067" max="3067" width="12.42578125" style="5" customWidth="1"/>
    <col min="3068" max="3068" width="13" style="5" customWidth="1"/>
    <col min="3069" max="3069" width="12.5703125" style="5" customWidth="1"/>
    <col min="3070" max="3083" width="11.7109375" style="5" customWidth="1"/>
    <col min="3084" max="3084" width="12.28515625" style="5" customWidth="1"/>
    <col min="3085" max="3085" width="11.7109375" style="5" customWidth="1"/>
    <col min="3086" max="3086" width="12.85546875" style="5" customWidth="1"/>
    <col min="3087" max="3087" width="11.7109375" style="5" customWidth="1"/>
    <col min="3088" max="3088" width="12.7109375" style="5" customWidth="1"/>
    <col min="3089" max="3089" width="11.7109375" style="5" customWidth="1"/>
    <col min="3090" max="3090" width="13" style="5" customWidth="1"/>
    <col min="3091" max="3102" width="11.7109375" style="5" customWidth="1"/>
    <col min="3103" max="3103" width="12.5703125" style="5" customWidth="1"/>
    <col min="3104" max="3104" width="11.7109375" style="5" customWidth="1"/>
    <col min="3105" max="3105" width="13" style="5" customWidth="1"/>
    <col min="3106" max="3111" width="11.7109375" style="5" customWidth="1"/>
    <col min="3112" max="3112" width="13.7109375" style="5" customWidth="1"/>
    <col min="3113" max="3113" width="13.140625" style="5" customWidth="1"/>
    <col min="3114" max="3117" width="13" style="5" customWidth="1"/>
    <col min="3118" max="3124" width="11.7109375" style="5" customWidth="1"/>
    <col min="3125" max="3125" width="10.85546875" style="5" customWidth="1"/>
    <col min="3126" max="3126" width="11.7109375" style="5" customWidth="1"/>
    <col min="3127" max="3129" width="22.7109375" style="5" customWidth="1"/>
    <col min="3130" max="3132" width="20.7109375" style="5" customWidth="1"/>
    <col min="3133" max="3320" width="8.85546875" style="5"/>
    <col min="3321" max="3321" width="6.140625" style="5" customWidth="1"/>
    <col min="3322" max="3322" width="20.28515625" style="5" customWidth="1"/>
    <col min="3323" max="3323" width="12.42578125" style="5" customWidth="1"/>
    <col min="3324" max="3324" width="13" style="5" customWidth="1"/>
    <col min="3325" max="3325" width="12.5703125" style="5" customWidth="1"/>
    <col min="3326" max="3339" width="11.7109375" style="5" customWidth="1"/>
    <col min="3340" max="3340" width="12.28515625" style="5" customWidth="1"/>
    <col min="3341" max="3341" width="11.7109375" style="5" customWidth="1"/>
    <col min="3342" max="3342" width="12.85546875" style="5" customWidth="1"/>
    <col min="3343" max="3343" width="11.7109375" style="5" customWidth="1"/>
    <col min="3344" max="3344" width="12.7109375" style="5" customWidth="1"/>
    <col min="3345" max="3345" width="11.7109375" style="5" customWidth="1"/>
    <col min="3346" max="3346" width="13" style="5" customWidth="1"/>
    <col min="3347" max="3358" width="11.7109375" style="5" customWidth="1"/>
    <col min="3359" max="3359" width="12.5703125" style="5" customWidth="1"/>
    <col min="3360" max="3360" width="11.7109375" style="5" customWidth="1"/>
    <col min="3361" max="3361" width="13" style="5" customWidth="1"/>
    <col min="3362" max="3367" width="11.7109375" style="5" customWidth="1"/>
    <col min="3368" max="3368" width="13.7109375" style="5" customWidth="1"/>
    <col min="3369" max="3369" width="13.140625" style="5" customWidth="1"/>
    <col min="3370" max="3373" width="13" style="5" customWidth="1"/>
    <col min="3374" max="3380" width="11.7109375" style="5" customWidth="1"/>
    <col min="3381" max="3381" width="10.85546875" style="5" customWidth="1"/>
    <col min="3382" max="3382" width="11.7109375" style="5" customWidth="1"/>
    <col min="3383" max="3385" width="22.7109375" style="5" customWidth="1"/>
    <col min="3386" max="3388" width="20.7109375" style="5" customWidth="1"/>
    <col min="3389" max="3576" width="8.85546875" style="5"/>
    <col min="3577" max="3577" width="6.140625" style="5" customWidth="1"/>
    <col min="3578" max="3578" width="20.28515625" style="5" customWidth="1"/>
    <col min="3579" max="3579" width="12.42578125" style="5" customWidth="1"/>
    <col min="3580" max="3580" width="13" style="5" customWidth="1"/>
    <col min="3581" max="3581" width="12.5703125" style="5" customWidth="1"/>
    <col min="3582" max="3595" width="11.7109375" style="5" customWidth="1"/>
    <col min="3596" max="3596" width="12.28515625" style="5" customWidth="1"/>
    <col min="3597" max="3597" width="11.7109375" style="5" customWidth="1"/>
    <col min="3598" max="3598" width="12.85546875" style="5" customWidth="1"/>
    <col min="3599" max="3599" width="11.7109375" style="5" customWidth="1"/>
    <col min="3600" max="3600" width="12.7109375" style="5" customWidth="1"/>
    <col min="3601" max="3601" width="11.7109375" style="5" customWidth="1"/>
    <col min="3602" max="3602" width="13" style="5" customWidth="1"/>
    <col min="3603" max="3614" width="11.7109375" style="5" customWidth="1"/>
    <col min="3615" max="3615" width="12.5703125" style="5" customWidth="1"/>
    <col min="3616" max="3616" width="11.7109375" style="5" customWidth="1"/>
    <col min="3617" max="3617" width="13" style="5" customWidth="1"/>
    <col min="3618" max="3623" width="11.7109375" style="5" customWidth="1"/>
    <col min="3624" max="3624" width="13.7109375" style="5" customWidth="1"/>
    <col min="3625" max="3625" width="13.140625" style="5" customWidth="1"/>
    <col min="3626" max="3629" width="13" style="5" customWidth="1"/>
    <col min="3630" max="3636" width="11.7109375" style="5" customWidth="1"/>
    <col min="3637" max="3637" width="10.85546875" style="5" customWidth="1"/>
    <col min="3638" max="3638" width="11.7109375" style="5" customWidth="1"/>
    <col min="3639" max="3641" width="22.7109375" style="5" customWidth="1"/>
    <col min="3642" max="3644" width="20.7109375" style="5" customWidth="1"/>
    <col min="3645" max="3832" width="8.85546875" style="5"/>
    <col min="3833" max="3833" width="6.140625" style="5" customWidth="1"/>
    <col min="3834" max="3834" width="20.28515625" style="5" customWidth="1"/>
    <col min="3835" max="3835" width="12.42578125" style="5" customWidth="1"/>
    <col min="3836" max="3836" width="13" style="5" customWidth="1"/>
    <col min="3837" max="3837" width="12.5703125" style="5" customWidth="1"/>
    <col min="3838" max="3851" width="11.7109375" style="5" customWidth="1"/>
    <col min="3852" max="3852" width="12.28515625" style="5" customWidth="1"/>
    <col min="3853" max="3853" width="11.7109375" style="5" customWidth="1"/>
    <col min="3854" max="3854" width="12.85546875" style="5" customWidth="1"/>
    <col min="3855" max="3855" width="11.7109375" style="5" customWidth="1"/>
    <col min="3856" max="3856" width="12.7109375" style="5" customWidth="1"/>
    <col min="3857" max="3857" width="11.7109375" style="5" customWidth="1"/>
    <col min="3858" max="3858" width="13" style="5" customWidth="1"/>
    <col min="3859" max="3870" width="11.7109375" style="5" customWidth="1"/>
    <col min="3871" max="3871" width="12.5703125" style="5" customWidth="1"/>
    <col min="3872" max="3872" width="11.7109375" style="5" customWidth="1"/>
    <col min="3873" max="3873" width="13" style="5" customWidth="1"/>
    <col min="3874" max="3879" width="11.7109375" style="5" customWidth="1"/>
    <col min="3880" max="3880" width="13.7109375" style="5" customWidth="1"/>
    <col min="3881" max="3881" width="13.140625" style="5" customWidth="1"/>
    <col min="3882" max="3885" width="13" style="5" customWidth="1"/>
    <col min="3886" max="3892" width="11.7109375" style="5" customWidth="1"/>
    <col min="3893" max="3893" width="10.85546875" style="5" customWidth="1"/>
    <col min="3894" max="3894" width="11.7109375" style="5" customWidth="1"/>
    <col min="3895" max="3897" width="22.7109375" style="5" customWidth="1"/>
    <col min="3898" max="3900" width="20.7109375" style="5" customWidth="1"/>
    <col min="3901" max="4088" width="8.85546875" style="5"/>
    <col min="4089" max="4089" width="6.140625" style="5" customWidth="1"/>
    <col min="4090" max="4090" width="20.28515625" style="5" customWidth="1"/>
    <col min="4091" max="4091" width="12.42578125" style="5" customWidth="1"/>
    <col min="4092" max="4092" width="13" style="5" customWidth="1"/>
    <col min="4093" max="4093" width="12.5703125" style="5" customWidth="1"/>
    <col min="4094" max="4107" width="11.7109375" style="5" customWidth="1"/>
    <col min="4108" max="4108" width="12.28515625" style="5" customWidth="1"/>
    <col min="4109" max="4109" width="11.7109375" style="5" customWidth="1"/>
    <col min="4110" max="4110" width="12.85546875" style="5" customWidth="1"/>
    <col min="4111" max="4111" width="11.7109375" style="5" customWidth="1"/>
    <col min="4112" max="4112" width="12.7109375" style="5" customWidth="1"/>
    <col min="4113" max="4113" width="11.7109375" style="5" customWidth="1"/>
    <col min="4114" max="4114" width="13" style="5" customWidth="1"/>
    <col min="4115" max="4126" width="11.7109375" style="5" customWidth="1"/>
    <col min="4127" max="4127" width="12.5703125" style="5" customWidth="1"/>
    <col min="4128" max="4128" width="11.7109375" style="5" customWidth="1"/>
    <col min="4129" max="4129" width="13" style="5" customWidth="1"/>
    <col min="4130" max="4135" width="11.7109375" style="5" customWidth="1"/>
    <col min="4136" max="4136" width="13.7109375" style="5" customWidth="1"/>
    <col min="4137" max="4137" width="13.140625" style="5" customWidth="1"/>
    <col min="4138" max="4141" width="13" style="5" customWidth="1"/>
    <col min="4142" max="4148" width="11.7109375" style="5" customWidth="1"/>
    <col min="4149" max="4149" width="10.85546875" style="5" customWidth="1"/>
    <col min="4150" max="4150" width="11.7109375" style="5" customWidth="1"/>
    <col min="4151" max="4153" width="22.7109375" style="5" customWidth="1"/>
    <col min="4154" max="4156" width="20.7109375" style="5" customWidth="1"/>
    <col min="4157" max="4344" width="8.85546875" style="5"/>
    <col min="4345" max="4345" width="6.140625" style="5" customWidth="1"/>
    <col min="4346" max="4346" width="20.28515625" style="5" customWidth="1"/>
    <col min="4347" max="4347" width="12.42578125" style="5" customWidth="1"/>
    <col min="4348" max="4348" width="13" style="5" customWidth="1"/>
    <col min="4349" max="4349" width="12.5703125" style="5" customWidth="1"/>
    <col min="4350" max="4363" width="11.7109375" style="5" customWidth="1"/>
    <col min="4364" max="4364" width="12.28515625" style="5" customWidth="1"/>
    <col min="4365" max="4365" width="11.7109375" style="5" customWidth="1"/>
    <col min="4366" max="4366" width="12.85546875" style="5" customWidth="1"/>
    <col min="4367" max="4367" width="11.7109375" style="5" customWidth="1"/>
    <col min="4368" max="4368" width="12.7109375" style="5" customWidth="1"/>
    <col min="4369" max="4369" width="11.7109375" style="5" customWidth="1"/>
    <col min="4370" max="4370" width="13" style="5" customWidth="1"/>
    <col min="4371" max="4382" width="11.7109375" style="5" customWidth="1"/>
    <col min="4383" max="4383" width="12.5703125" style="5" customWidth="1"/>
    <col min="4384" max="4384" width="11.7109375" style="5" customWidth="1"/>
    <col min="4385" max="4385" width="13" style="5" customWidth="1"/>
    <col min="4386" max="4391" width="11.7109375" style="5" customWidth="1"/>
    <col min="4392" max="4392" width="13.7109375" style="5" customWidth="1"/>
    <col min="4393" max="4393" width="13.140625" style="5" customWidth="1"/>
    <col min="4394" max="4397" width="13" style="5" customWidth="1"/>
    <col min="4398" max="4404" width="11.7109375" style="5" customWidth="1"/>
    <col min="4405" max="4405" width="10.85546875" style="5" customWidth="1"/>
    <col min="4406" max="4406" width="11.7109375" style="5" customWidth="1"/>
    <col min="4407" max="4409" width="22.7109375" style="5" customWidth="1"/>
    <col min="4410" max="4412" width="20.7109375" style="5" customWidth="1"/>
    <col min="4413" max="4600" width="8.85546875" style="5"/>
    <col min="4601" max="4601" width="6.140625" style="5" customWidth="1"/>
    <col min="4602" max="4602" width="20.28515625" style="5" customWidth="1"/>
    <col min="4603" max="4603" width="12.42578125" style="5" customWidth="1"/>
    <col min="4604" max="4604" width="13" style="5" customWidth="1"/>
    <col min="4605" max="4605" width="12.5703125" style="5" customWidth="1"/>
    <col min="4606" max="4619" width="11.7109375" style="5" customWidth="1"/>
    <col min="4620" max="4620" width="12.28515625" style="5" customWidth="1"/>
    <col min="4621" max="4621" width="11.7109375" style="5" customWidth="1"/>
    <col min="4622" max="4622" width="12.85546875" style="5" customWidth="1"/>
    <col min="4623" max="4623" width="11.7109375" style="5" customWidth="1"/>
    <col min="4624" max="4624" width="12.7109375" style="5" customWidth="1"/>
    <col min="4625" max="4625" width="11.7109375" style="5" customWidth="1"/>
    <col min="4626" max="4626" width="13" style="5" customWidth="1"/>
    <col min="4627" max="4638" width="11.7109375" style="5" customWidth="1"/>
    <col min="4639" max="4639" width="12.5703125" style="5" customWidth="1"/>
    <col min="4640" max="4640" width="11.7109375" style="5" customWidth="1"/>
    <col min="4641" max="4641" width="13" style="5" customWidth="1"/>
    <col min="4642" max="4647" width="11.7109375" style="5" customWidth="1"/>
    <col min="4648" max="4648" width="13.7109375" style="5" customWidth="1"/>
    <col min="4649" max="4649" width="13.140625" style="5" customWidth="1"/>
    <col min="4650" max="4653" width="13" style="5" customWidth="1"/>
    <col min="4654" max="4660" width="11.7109375" style="5" customWidth="1"/>
    <col min="4661" max="4661" width="10.85546875" style="5" customWidth="1"/>
    <col min="4662" max="4662" width="11.7109375" style="5" customWidth="1"/>
    <col min="4663" max="4665" width="22.7109375" style="5" customWidth="1"/>
    <col min="4666" max="4668" width="20.7109375" style="5" customWidth="1"/>
    <col min="4669" max="4856" width="8.85546875" style="5"/>
    <col min="4857" max="4857" width="6.140625" style="5" customWidth="1"/>
    <col min="4858" max="4858" width="20.28515625" style="5" customWidth="1"/>
    <col min="4859" max="4859" width="12.42578125" style="5" customWidth="1"/>
    <col min="4860" max="4860" width="13" style="5" customWidth="1"/>
    <col min="4861" max="4861" width="12.5703125" style="5" customWidth="1"/>
    <col min="4862" max="4875" width="11.7109375" style="5" customWidth="1"/>
    <col min="4876" max="4876" width="12.28515625" style="5" customWidth="1"/>
    <col min="4877" max="4877" width="11.7109375" style="5" customWidth="1"/>
    <col min="4878" max="4878" width="12.85546875" style="5" customWidth="1"/>
    <col min="4879" max="4879" width="11.7109375" style="5" customWidth="1"/>
    <col min="4880" max="4880" width="12.7109375" style="5" customWidth="1"/>
    <col min="4881" max="4881" width="11.7109375" style="5" customWidth="1"/>
    <col min="4882" max="4882" width="13" style="5" customWidth="1"/>
    <col min="4883" max="4894" width="11.7109375" style="5" customWidth="1"/>
    <col min="4895" max="4895" width="12.5703125" style="5" customWidth="1"/>
    <col min="4896" max="4896" width="11.7109375" style="5" customWidth="1"/>
    <col min="4897" max="4897" width="13" style="5" customWidth="1"/>
    <col min="4898" max="4903" width="11.7109375" style="5" customWidth="1"/>
    <col min="4904" max="4904" width="13.7109375" style="5" customWidth="1"/>
    <col min="4905" max="4905" width="13.140625" style="5" customWidth="1"/>
    <col min="4906" max="4909" width="13" style="5" customWidth="1"/>
    <col min="4910" max="4916" width="11.7109375" style="5" customWidth="1"/>
    <col min="4917" max="4917" width="10.85546875" style="5" customWidth="1"/>
    <col min="4918" max="4918" width="11.7109375" style="5" customWidth="1"/>
    <col min="4919" max="4921" width="22.7109375" style="5" customWidth="1"/>
    <col min="4922" max="4924" width="20.7109375" style="5" customWidth="1"/>
    <col min="4925" max="5112" width="8.85546875" style="5"/>
    <col min="5113" max="5113" width="6.140625" style="5" customWidth="1"/>
    <col min="5114" max="5114" width="20.28515625" style="5" customWidth="1"/>
    <col min="5115" max="5115" width="12.42578125" style="5" customWidth="1"/>
    <col min="5116" max="5116" width="13" style="5" customWidth="1"/>
    <col min="5117" max="5117" width="12.5703125" style="5" customWidth="1"/>
    <col min="5118" max="5131" width="11.7109375" style="5" customWidth="1"/>
    <col min="5132" max="5132" width="12.28515625" style="5" customWidth="1"/>
    <col min="5133" max="5133" width="11.7109375" style="5" customWidth="1"/>
    <col min="5134" max="5134" width="12.85546875" style="5" customWidth="1"/>
    <col min="5135" max="5135" width="11.7109375" style="5" customWidth="1"/>
    <col min="5136" max="5136" width="12.7109375" style="5" customWidth="1"/>
    <col min="5137" max="5137" width="11.7109375" style="5" customWidth="1"/>
    <col min="5138" max="5138" width="13" style="5" customWidth="1"/>
    <col min="5139" max="5150" width="11.7109375" style="5" customWidth="1"/>
    <col min="5151" max="5151" width="12.5703125" style="5" customWidth="1"/>
    <col min="5152" max="5152" width="11.7109375" style="5" customWidth="1"/>
    <col min="5153" max="5153" width="13" style="5" customWidth="1"/>
    <col min="5154" max="5159" width="11.7109375" style="5" customWidth="1"/>
    <col min="5160" max="5160" width="13.7109375" style="5" customWidth="1"/>
    <col min="5161" max="5161" width="13.140625" style="5" customWidth="1"/>
    <col min="5162" max="5165" width="13" style="5" customWidth="1"/>
    <col min="5166" max="5172" width="11.7109375" style="5" customWidth="1"/>
    <col min="5173" max="5173" width="10.85546875" style="5" customWidth="1"/>
    <col min="5174" max="5174" width="11.7109375" style="5" customWidth="1"/>
    <col min="5175" max="5177" width="22.7109375" style="5" customWidth="1"/>
    <col min="5178" max="5180" width="20.7109375" style="5" customWidth="1"/>
    <col min="5181" max="5368" width="8.85546875" style="5"/>
    <col min="5369" max="5369" width="6.140625" style="5" customWidth="1"/>
    <col min="5370" max="5370" width="20.28515625" style="5" customWidth="1"/>
    <col min="5371" max="5371" width="12.42578125" style="5" customWidth="1"/>
    <col min="5372" max="5372" width="13" style="5" customWidth="1"/>
    <col min="5373" max="5373" width="12.5703125" style="5" customWidth="1"/>
    <col min="5374" max="5387" width="11.7109375" style="5" customWidth="1"/>
    <col min="5388" max="5388" width="12.28515625" style="5" customWidth="1"/>
    <col min="5389" max="5389" width="11.7109375" style="5" customWidth="1"/>
    <col min="5390" max="5390" width="12.85546875" style="5" customWidth="1"/>
    <col min="5391" max="5391" width="11.7109375" style="5" customWidth="1"/>
    <col min="5392" max="5392" width="12.7109375" style="5" customWidth="1"/>
    <col min="5393" max="5393" width="11.7109375" style="5" customWidth="1"/>
    <col min="5394" max="5394" width="13" style="5" customWidth="1"/>
    <col min="5395" max="5406" width="11.7109375" style="5" customWidth="1"/>
    <col min="5407" max="5407" width="12.5703125" style="5" customWidth="1"/>
    <col min="5408" max="5408" width="11.7109375" style="5" customWidth="1"/>
    <col min="5409" max="5409" width="13" style="5" customWidth="1"/>
    <col min="5410" max="5415" width="11.7109375" style="5" customWidth="1"/>
    <col min="5416" max="5416" width="13.7109375" style="5" customWidth="1"/>
    <col min="5417" max="5417" width="13.140625" style="5" customWidth="1"/>
    <col min="5418" max="5421" width="13" style="5" customWidth="1"/>
    <col min="5422" max="5428" width="11.7109375" style="5" customWidth="1"/>
    <col min="5429" max="5429" width="10.85546875" style="5" customWidth="1"/>
    <col min="5430" max="5430" width="11.7109375" style="5" customWidth="1"/>
    <col min="5431" max="5433" width="22.7109375" style="5" customWidth="1"/>
    <col min="5434" max="5436" width="20.7109375" style="5" customWidth="1"/>
    <col min="5437" max="5624" width="8.85546875" style="5"/>
    <col min="5625" max="5625" width="6.140625" style="5" customWidth="1"/>
    <col min="5626" max="5626" width="20.28515625" style="5" customWidth="1"/>
    <col min="5627" max="5627" width="12.42578125" style="5" customWidth="1"/>
    <col min="5628" max="5628" width="13" style="5" customWidth="1"/>
    <col min="5629" max="5629" width="12.5703125" style="5" customWidth="1"/>
    <col min="5630" max="5643" width="11.7109375" style="5" customWidth="1"/>
    <col min="5644" max="5644" width="12.28515625" style="5" customWidth="1"/>
    <col min="5645" max="5645" width="11.7109375" style="5" customWidth="1"/>
    <col min="5646" max="5646" width="12.85546875" style="5" customWidth="1"/>
    <col min="5647" max="5647" width="11.7109375" style="5" customWidth="1"/>
    <col min="5648" max="5648" width="12.7109375" style="5" customWidth="1"/>
    <col min="5649" max="5649" width="11.7109375" style="5" customWidth="1"/>
    <col min="5650" max="5650" width="13" style="5" customWidth="1"/>
    <col min="5651" max="5662" width="11.7109375" style="5" customWidth="1"/>
    <col min="5663" max="5663" width="12.5703125" style="5" customWidth="1"/>
    <col min="5664" max="5664" width="11.7109375" style="5" customWidth="1"/>
    <col min="5665" max="5665" width="13" style="5" customWidth="1"/>
    <col min="5666" max="5671" width="11.7109375" style="5" customWidth="1"/>
    <col min="5672" max="5672" width="13.7109375" style="5" customWidth="1"/>
    <col min="5673" max="5673" width="13.140625" style="5" customWidth="1"/>
    <col min="5674" max="5677" width="13" style="5" customWidth="1"/>
    <col min="5678" max="5684" width="11.7109375" style="5" customWidth="1"/>
    <col min="5685" max="5685" width="10.85546875" style="5" customWidth="1"/>
    <col min="5686" max="5686" width="11.7109375" style="5" customWidth="1"/>
    <col min="5687" max="5689" width="22.7109375" style="5" customWidth="1"/>
    <col min="5690" max="5692" width="20.7109375" style="5" customWidth="1"/>
    <col min="5693" max="5880" width="8.85546875" style="5"/>
    <col min="5881" max="5881" width="6.140625" style="5" customWidth="1"/>
    <col min="5882" max="5882" width="20.28515625" style="5" customWidth="1"/>
    <col min="5883" max="5883" width="12.42578125" style="5" customWidth="1"/>
    <col min="5884" max="5884" width="13" style="5" customWidth="1"/>
    <col min="5885" max="5885" width="12.5703125" style="5" customWidth="1"/>
    <col min="5886" max="5899" width="11.7109375" style="5" customWidth="1"/>
    <col min="5900" max="5900" width="12.28515625" style="5" customWidth="1"/>
    <col min="5901" max="5901" width="11.7109375" style="5" customWidth="1"/>
    <col min="5902" max="5902" width="12.85546875" style="5" customWidth="1"/>
    <col min="5903" max="5903" width="11.7109375" style="5" customWidth="1"/>
    <col min="5904" max="5904" width="12.7109375" style="5" customWidth="1"/>
    <col min="5905" max="5905" width="11.7109375" style="5" customWidth="1"/>
    <col min="5906" max="5906" width="13" style="5" customWidth="1"/>
    <col min="5907" max="5918" width="11.7109375" style="5" customWidth="1"/>
    <col min="5919" max="5919" width="12.5703125" style="5" customWidth="1"/>
    <col min="5920" max="5920" width="11.7109375" style="5" customWidth="1"/>
    <col min="5921" max="5921" width="13" style="5" customWidth="1"/>
    <col min="5922" max="5927" width="11.7109375" style="5" customWidth="1"/>
    <col min="5928" max="5928" width="13.7109375" style="5" customWidth="1"/>
    <col min="5929" max="5929" width="13.140625" style="5" customWidth="1"/>
    <col min="5930" max="5933" width="13" style="5" customWidth="1"/>
    <col min="5934" max="5940" width="11.7109375" style="5" customWidth="1"/>
    <col min="5941" max="5941" width="10.85546875" style="5" customWidth="1"/>
    <col min="5942" max="5942" width="11.7109375" style="5" customWidth="1"/>
    <col min="5943" max="5945" width="22.7109375" style="5" customWidth="1"/>
    <col min="5946" max="5948" width="20.7109375" style="5" customWidth="1"/>
    <col min="5949" max="6136" width="8.85546875" style="5"/>
    <col min="6137" max="6137" width="6.140625" style="5" customWidth="1"/>
    <col min="6138" max="6138" width="20.28515625" style="5" customWidth="1"/>
    <col min="6139" max="6139" width="12.42578125" style="5" customWidth="1"/>
    <col min="6140" max="6140" width="13" style="5" customWidth="1"/>
    <col min="6141" max="6141" width="12.5703125" style="5" customWidth="1"/>
    <col min="6142" max="6155" width="11.7109375" style="5" customWidth="1"/>
    <col min="6156" max="6156" width="12.28515625" style="5" customWidth="1"/>
    <col min="6157" max="6157" width="11.7109375" style="5" customWidth="1"/>
    <col min="6158" max="6158" width="12.85546875" style="5" customWidth="1"/>
    <col min="6159" max="6159" width="11.7109375" style="5" customWidth="1"/>
    <col min="6160" max="6160" width="12.7109375" style="5" customWidth="1"/>
    <col min="6161" max="6161" width="11.7109375" style="5" customWidth="1"/>
    <col min="6162" max="6162" width="13" style="5" customWidth="1"/>
    <col min="6163" max="6174" width="11.7109375" style="5" customWidth="1"/>
    <col min="6175" max="6175" width="12.5703125" style="5" customWidth="1"/>
    <col min="6176" max="6176" width="11.7109375" style="5" customWidth="1"/>
    <col min="6177" max="6177" width="13" style="5" customWidth="1"/>
    <col min="6178" max="6183" width="11.7109375" style="5" customWidth="1"/>
    <col min="6184" max="6184" width="13.7109375" style="5" customWidth="1"/>
    <col min="6185" max="6185" width="13.140625" style="5" customWidth="1"/>
    <col min="6186" max="6189" width="13" style="5" customWidth="1"/>
    <col min="6190" max="6196" width="11.7109375" style="5" customWidth="1"/>
    <col min="6197" max="6197" width="10.85546875" style="5" customWidth="1"/>
    <col min="6198" max="6198" width="11.7109375" style="5" customWidth="1"/>
    <col min="6199" max="6201" width="22.7109375" style="5" customWidth="1"/>
    <col min="6202" max="6204" width="20.7109375" style="5" customWidth="1"/>
    <col min="6205" max="6392" width="8.85546875" style="5"/>
    <col min="6393" max="6393" width="6.140625" style="5" customWidth="1"/>
    <col min="6394" max="6394" width="20.28515625" style="5" customWidth="1"/>
    <col min="6395" max="6395" width="12.42578125" style="5" customWidth="1"/>
    <col min="6396" max="6396" width="13" style="5" customWidth="1"/>
    <col min="6397" max="6397" width="12.5703125" style="5" customWidth="1"/>
    <col min="6398" max="6411" width="11.7109375" style="5" customWidth="1"/>
    <col min="6412" max="6412" width="12.28515625" style="5" customWidth="1"/>
    <col min="6413" max="6413" width="11.7109375" style="5" customWidth="1"/>
    <col min="6414" max="6414" width="12.85546875" style="5" customWidth="1"/>
    <col min="6415" max="6415" width="11.7109375" style="5" customWidth="1"/>
    <col min="6416" max="6416" width="12.7109375" style="5" customWidth="1"/>
    <col min="6417" max="6417" width="11.7109375" style="5" customWidth="1"/>
    <col min="6418" max="6418" width="13" style="5" customWidth="1"/>
    <col min="6419" max="6430" width="11.7109375" style="5" customWidth="1"/>
    <col min="6431" max="6431" width="12.5703125" style="5" customWidth="1"/>
    <col min="6432" max="6432" width="11.7109375" style="5" customWidth="1"/>
    <col min="6433" max="6433" width="13" style="5" customWidth="1"/>
    <col min="6434" max="6439" width="11.7109375" style="5" customWidth="1"/>
    <col min="6440" max="6440" width="13.7109375" style="5" customWidth="1"/>
    <col min="6441" max="6441" width="13.140625" style="5" customWidth="1"/>
    <col min="6442" max="6445" width="13" style="5" customWidth="1"/>
    <col min="6446" max="6452" width="11.7109375" style="5" customWidth="1"/>
    <col min="6453" max="6453" width="10.85546875" style="5" customWidth="1"/>
    <col min="6454" max="6454" width="11.7109375" style="5" customWidth="1"/>
    <col min="6455" max="6457" width="22.7109375" style="5" customWidth="1"/>
    <col min="6458" max="6460" width="20.7109375" style="5" customWidth="1"/>
    <col min="6461" max="6648" width="8.85546875" style="5"/>
    <col min="6649" max="6649" width="6.140625" style="5" customWidth="1"/>
    <col min="6650" max="6650" width="20.28515625" style="5" customWidth="1"/>
    <col min="6651" max="6651" width="12.42578125" style="5" customWidth="1"/>
    <col min="6652" max="6652" width="13" style="5" customWidth="1"/>
    <col min="6653" max="6653" width="12.5703125" style="5" customWidth="1"/>
    <col min="6654" max="6667" width="11.7109375" style="5" customWidth="1"/>
    <col min="6668" max="6668" width="12.28515625" style="5" customWidth="1"/>
    <col min="6669" max="6669" width="11.7109375" style="5" customWidth="1"/>
    <col min="6670" max="6670" width="12.85546875" style="5" customWidth="1"/>
    <col min="6671" max="6671" width="11.7109375" style="5" customWidth="1"/>
    <col min="6672" max="6672" width="12.7109375" style="5" customWidth="1"/>
    <col min="6673" max="6673" width="11.7109375" style="5" customWidth="1"/>
    <col min="6674" max="6674" width="13" style="5" customWidth="1"/>
    <col min="6675" max="6686" width="11.7109375" style="5" customWidth="1"/>
    <col min="6687" max="6687" width="12.5703125" style="5" customWidth="1"/>
    <col min="6688" max="6688" width="11.7109375" style="5" customWidth="1"/>
    <col min="6689" max="6689" width="13" style="5" customWidth="1"/>
    <col min="6690" max="6695" width="11.7109375" style="5" customWidth="1"/>
    <col min="6696" max="6696" width="13.7109375" style="5" customWidth="1"/>
    <col min="6697" max="6697" width="13.140625" style="5" customWidth="1"/>
    <col min="6698" max="6701" width="13" style="5" customWidth="1"/>
    <col min="6702" max="6708" width="11.7109375" style="5" customWidth="1"/>
    <col min="6709" max="6709" width="10.85546875" style="5" customWidth="1"/>
    <col min="6710" max="6710" width="11.7109375" style="5" customWidth="1"/>
    <col min="6711" max="6713" width="22.7109375" style="5" customWidth="1"/>
    <col min="6714" max="6716" width="20.7109375" style="5" customWidth="1"/>
    <col min="6717" max="6904" width="8.85546875" style="5"/>
    <col min="6905" max="6905" width="6.140625" style="5" customWidth="1"/>
    <col min="6906" max="6906" width="20.28515625" style="5" customWidth="1"/>
    <col min="6907" max="6907" width="12.42578125" style="5" customWidth="1"/>
    <col min="6908" max="6908" width="13" style="5" customWidth="1"/>
    <col min="6909" max="6909" width="12.5703125" style="5" customWidth="1"/>
    <col min="6910" max="6923" width="11.7109375" style="5" customWidth="1"/>
    <col min="6924" max="6924" width="12.28515625" style="5" customWidth="1"/>
    <col min="6925" max="6925" width="11.7109375" style="5" customWidth="1"/>
    <col min="6926" max="6926" width="12.85546875" style="5" customWidth="1"/>
    <col min="6927" max="6927" width="11.7109375" style="5" customWidth="1"/>
    <col min="6928" max="6928" width="12.7109375" style="5" customWidth="1"/>
    <col min="6929" max="6929" width="11.7109375" style="5" customWidth="1"/>
    <col min="6930" max="6930" width="13" style="5" customWidth="1"/>
    <col min="6931" max="6942" width="11.7109375" style="5" customWidth="1"/>
    <col min="6943" max="6943" width="12.5703125" style="5" customWidth="1"/>
    <col min="6944" max="6944" width="11.7109375" style="5" customWidth="1"/>
    <col min="6945" max="6945" width="13" style="5" customWidth="1"/>
    <col min="6946" max="6951" width="11.7109375" style="5" customWidth="1"/>
    <col min="6952" max="6952" width="13.7109375" style="5" customWidth="1"/>
    <col min="6953" max="6953" width="13.140625" style="5" customWidth="1"/>
    <col min="6954" max="6957" width="13" style="5" customWidth="1"/>
    <col min="6958" max="6964" width="11.7109375" style="5" customWidth="1"/>
    <col min="6965" max="6965" width="10.85546875" style="5" customWidth="1"/>
    <col min="6966" max="6966" width="11.7109375" style="5" customWidth="1"/>
    <col min="6967" max="6969" width="22.7109375" style="5" customWidth="1"/>
    <col min="6970" max="6972" width="20.7109375" style="5" customWidth="1"/>
    <col min="6973" max="7160" width="8.85546875" style="5"/>
    <col min="7161" max="7161" width="6.140625" style="5" customWidth="1"/>
    <col min="7162" max="7162" width="20.28515625" style="5" customWidth="1"/>
    <col min="7163" max="7163" width="12.42578125" style="5" customWidth="1"/>
    <col min="7164" max="7164" width="13" style="5" customWidth="1"/>
    <col min="7165" max="7165" width="12.5703125" style="5" customWidth="1"/>
    <col min="7166" max="7179" width="11.7109375" style="5" customWidth="1"/>
    <col min="7180" max="7180" width="12.28515625" style="5" customWidth="1"/>
    <col min="7181" max="7181" width="11.7109375" style="5" customWidth="1"/>
    <col min="7182" max="7182" width="12.85546875" style="5" customWidth="1"/>
    <col min="7183" max="7183" width="11.7109375" style="5" customWidth="1"/>
    <col min="7184" max="7184" width="12.7109375" style="5" customWidth="1"/>
    <col min="7185" max="7185" width="11.7109375" style="5" customWidth="1"/>
    <col min="7186" max="7186" width="13" style="5" customWidth="1"/>
    <col min="7187" max="7198" width="11.7109375" style="5" customWidth="1"/>
    <col min="7199" max="7199" width="12.5703125" style="5" customWidth="1"/>
    <col min="7200" max="7200" width="11.7109375" style="5" customWidth="1"/>
    <col min="7201" max="7201" width="13" style="5" customWidth="1"/>
    <col min="7202" max="7207" width="11.7109375" style="5" customWidth="1"/>
    <col min="7208" max="7208" width="13.7109375" style="5" customWidth="1"/>
    <col min="7209" max="7209" width="13.140625" style="5" customWidth="1"/>
    <col min="7210" max="7213" width="13" style="5" customWidth="1"/>
    <col min="7214" max="7220" width="11.7109375" style="5" customWidth="1"/>
    <col min="7221" max="7221" width="10.85546875" style="5" customWidth="1"/>
    <col min="7222" max="7222" width="11.7109375" style="5" customWidth="1"/>
    <col min="7223" max="7225" width="22.7109375" style="5" customWidth="1"/>
    <col min="7226" max="7228" width="20.7109375" style="5" customWidth="1"/>
    <col min="7229" max="7416" width="8.85546875" style="5"/>
    <col min="7417" max="7417" width="6.140625" style="5" customWidth="1"/>
    <col min="7418" max="7418" width="20.28515625" style="5" customWidth="1"/>
    <col min="7419" max="7419" width="12.42578125" style="5" customWidth="1"/>
    <col min="7420" max="7420" width="13" style="5" customWidth="1"/>
    <col min="7421" max="7421" width="12.5703125" style="5" customWidth="1"/>
    <col min="7422" max="7435" width="11.7109375" style="5" customWidth="1"/>
    <col min="7436" max="7436" width="12.28515625" style="5" customWidth="1"/>
    <col min="7437" max="7437" width="11.7109375" style="5" customWidth="1"/>
    <col min="7438" max="7438" width="12.85546875" style="5" customWidth="1"/>
    <col min="7439" max="7439" width="11.7109375" style="5" customWidth="1"/>
    <col min="7440" max="7440" width="12.7109375" style="5" customWidth="1"/>
    <col min="7441" max="7441" width="11.7109375" style="5" customWidth="1"/>
    <col min="7442" max="7442" width="13" style="5" customWidth="1"/>
    <col min="7443" max="7454" width="11.7109375" style="5" customWidth="1"/>
    <col min="7455" max="7455" width="12.5703125" style="5" customWidth="1"/>
    <col min="7456" max="7456" width="11.7109375" style="5" customWidth="1"/>
    <col min="7457" max="7457" width="13" style="5" customWidth="1"/>
    <col min="7458" max="7463" width="11.7109375" style="5" customWidth="1"/>
    <col min="7464" max="7464" width="13.7109375" style="5" customWidth="1"/>
    <col min="7465" max="7465" width="13.140625" style="5" customWidth="1"/>
    <col min="7466" max="7469" width="13" style="5" customWidth="1"/>
    <col min="7470" max="7476" width="11.7109375" style="5" customWidth="1"/>
    <col min="7477" max="7477" width="10.85546875" style="5" customWidth="1"/>
    <col min="7478" max="7478" width="11.7109375" style="5" customWidth="1"/>
    <col min="7479" max="7481" width="22.7109375" style="5" customWidth="1"/>
    <col min="7482" max="7484" width="20.7109375" style="5" customWidth="1"/>
    <col min="7485" max="7672" width="8.85546875" style="5"/>
    <col min="7673" max="7673" width="6.140625" style="5" customWidth="1"/>
    <col min="7674" max="7674" width="20.28515625" style="5" customWidth="1"/>
    <col min="7675" max="7675" width="12.42578125" style="5" customWidth="1"/>
    <col min="7676" max="7676" width="13" style="5" customWidth="1"/>
    <col min="7677" max="7677" width="12.5703125" style="5" customWidth="1"/>
    <col min="7678" max="7691" width="11.7109375" style="5" customWidth="1"/>
    <col min="7692" max="7692" width="12.28515625" style="5" customWidth="1"/>
    <col min="7693" max="7693" width="11.7109375" style="5" customWidth="1"/>
    <col min="7694" max="7694" width="12.85546875" style="5" customWidth="1"/>
    <col min="7695" max="7695" width="11.7109375" style="5" customWidth="1"/>
    <col min="7696" max="7696" width="12.7109375" style="5" customWidth="1"/>
    <col min="7697" max="7697" width="11.7109375" style="5" customWidth="1"/>
    <col min="7698" max="7698" width="13" style="5" customWidth="1"/>
    <col min="7699" max="7710" width="11.7109375" style="5" customWidth="1"/>
    <col min="7711" max="7711" width="12.5703125" style="5" customWidth="1"/>
    <col min="7712" max="7712" width="11.7109375" style="5" customWidth="1"/>
    <col min="7713" max="7713" width="13" style="5" customWidth="1"/>
    <col min="7714" max="7719" width="11.7109375" style="5" customWidth="1"/>
    <col min="7720" max="7720" width="13.7109375" style="5" customWidth="1"/>
    <col min="7721" max="7721" width="13.140625" style="5" customWidth="1"/>
    <col min="7722" max="7725" width="13" style="5" customWidth="1"/>
    <col min="7726" max="7732" width="11.7109375" style="5" customWidth="1"/>
    <col min="7733" max="7733" width="10.85546875" style="5" customWidth="1"/>
    <col min="7734" max="7734" width="11.7109375" style="5" customWidth="1"/>
    <col min="7735" max="7737" width="22.7109375" style="5" customWidth="1"/>
    <col min="7738" max="7740" width="20.7109375" style="5" customWidth="1"/>
    <col min="7741" max="7928" width="8.85546875" style="5"/>
    <col min="7929" max="7929" width="6.140625" style="5" customWidth="1"/>
    <col min="7930" max="7930" width="20.28515625" style="5" customWidth="1"/>
    <col min="7931" max="7931" width="12.42578125" style="5" customWidth="1"/>
    <col min="7932" max="7932" width="13" style="5" customWidth="1"/>
    <col min="7933" max="7933" width="12.5703125" style="5" customWidth="1"/>
    <col min="7934" max="7947" width="11.7109375" style="5" customWidth="1"/>
    <col min="7948" max="7948" width="12.28515625" style="5" customWidth="1"/>
    <col min="7949" max="7949" width="11.7109375" style="5" customWidth="1"/>
    <col min="7950" max="7950" width="12.85546875" style="5" customWidth="1"/>
    <col min="7951" max="7951" width="11.7109375" style="5" customWidth="1"/>
    <col min="7952" max="7952" width="12.7109375" style="5" customWidth="1"/>
    <col min="7953" max="7953" width="11.7109375" style="5" customWidth="1"/>
    <col min="7954" max="7954" width="13" style="5" customWidth="1"/>
    <col min="7955" max="7966" width="11.7109375" style="5" customWidth="1"/>
    <col min="7967" max="7967" width="12.5703125" style="5" customWidth="1"/>
    <col min="7968" max="7968" width="11.7109375" style="5" customWidth="1"/>
    <col min="7969" max="7969" width="13" style="5" customWidth="1"/>
    <col min="7970" max="7975" width="11.7109375" style="5" customWidth="1"/>
    <col min="7976" max="7976" width="13.7109375" style="5" customWidth="1"/>
    <col min="7977" max="7977" width="13.140625" style="5" customWidth="1"/>
    <col min="7978" max="7981" width="13" style="5" customWidth="1"/>
    <col min="7982" max="7988" width="11.7109375" style="5" customWidth="1"/>
    <col min="7989" max="7989" width="10.85546875" style="5" customWidth="1"/>
    <col min="7990" max="7990" width="11.7109375" style="5" customWidth="1"/>
    <col min="7991" max="7993" width="22.7109375" style="5" customWidth="1"/>
    <col min="7994" max="7996" width="20.7109375" style="5" customWidth="1"/>
    <col min="7997" max="8184" width="8.85546875" style="5"/>
    <col min="8185" max="8185" width="6.140625" style="5" customWidth="1"/>
    <col min="8186" max="8186" width="20.28515625" style="5" customWidth="1"/>
    <col min="8187" max="8187" width="12.42578125" style="5" customWidth="1"/>
    <col min="8188" max="8188" width="13" style="5" customWidth="1"/>
    <col min="8189" max="8189" width="12.5703125" style="5" customWidth="1"/>
    <col min="8190" max="8203" width="11.7109375" style="5" customWidth="1"/>
    <col min="8204" max="8204" width="12.28515625" style="5" customWidth="1"/>
    <col min="8205" max="8205" width="11.7109375" style="5" customWidth="1"/>
    <col min="8206" max="8206" width="12.85546875" style="5" customWidth="1"/>
    <col min="8207" max="8207" width="11.7109375" style="5" customWidth="1"/>
    <col min="8208" max="8208" width="12.7109375" style="5" customWidth="1"/>
    <col min="8209" max="8209" width="11.7109375" style="5" customWidth="1"/>
    <col min="8210" max="8210" width="13" style="5" customWidth="1"/>
    <col min="8211" max="8222" width="11.7109375" style="5" customWidth="1"/>
    <col min="8223" max="8223" width="12.5703125" style="5" customWidth="1"/>
    <col min="8224" max="8224" width="11.7109375" style="5" customWidth="1"/>
    <col min="8225" max="8225" width="13" style="5" customWidth="1"/>
    <col min="8226" max="8231" width="11.7109375" style="5" customWidth="1"/>
    <col min="8232" max="8232" width="13.7109375" style="5" customWidth="1"/>
    <col min="8233" max="8233" width="13.140625" style="5" customWidth="1"/>
    <col min="8234" max="8237" width="13" style="5" customWidth="1"/>
    <col min="8238" max="8244" width="11.7109375" style="5" customWidth="1"/>
    <col min="8245" max="8245" width="10.85546875" style="5" customWidth="1"/>
    <col min="8246" max="8246" width="11.7109375" style="5" customWidth="1"/>
    <col min="8247" max="8249" width="22.7109375" style="5" customWidth="1"/>
    <col min="8250" max="8252" width="20.7109375" style="5" customWidth="1"/>
    <col min="8253" max="8440" width="8.85546875" style="5"/>
    <col min="8441" max="8441" width="6.140625" style="5" customWidth="1"/>
    <col min="8442" max="8442" width="20.28515625" style="5" customWidth="1"/>
    <col min="8443" max="8443" width="12.42578125" style="5" customWidth="1"/>
    <col min="8444" max="8444" width="13" style="5" customWidth="1"/>
    <col min="8445" max="8445" width="12.5703125" style="5" customWidth="1"/>
    <col min="8446" max="8459" width="11.7109375" style="5" customWidth="1"/>
    <col min="8460" max="8460" width="12.28515625" style="5" customWidth="1"/>
    <col min="8461" max="8461" width="11.7109375" style="5" customWidth="1"/>
    <col min="8462" max="8462" width="12.85546875" style="5" customWidth="1"/>
    <col min="8463" max="8463" width="11.7109375" style="5" customWidth="1"/>
    <col min="8464" max="8464" width="12.7109375" style="5" customWidth="1"/>
    <col min="8465" max="8465" width="11.7109375" style="5" customWidth="1"/>
    <col min="8466" max="8466" width="13" style="5" customWidth="1"/>
    <col min="8467" max="8478" width="11.7109375" style="5" customWidth="1"/>
    <col min="8479" max="8479" width="12.5703125" style="5" customWidth="1"/>
    <col min="8480" max="8480" width="11.7109375" style="5" customWidth="1"/>
    <col min="8481" max="8481" width="13" style="5" customWidth="1"/>
    <col min="8482" max="8487" width="11.7109375" style="5" customWidth="1"/>
    <col min="8488" max="8488" width="13.7109375" style="5" customWidth="1"/>
    <col min="8489" max="8489" width="13.140625" style="5" customWidth="1"/>
    <col min="8490" max="8493" width="13" style="5" customWidth="1"/>
    <col min="8494" max="8500" width="11.7109375" style="5" customWidth="1"/>
    <col min="8501" max="8501" width="10.85546875" style="5" customWidth="1"/>
    <col min="8502" max="8502" width="11.7109375" style="5" customWidth="1"/>
    <col min="8503" max="8505" width="22.7109375" style="5" customWidth="1"/>
    <col min="8506" max="8508" width="20.7109375" style="5" customWidth="1"/>
    <col min="8509" max="8696" width="8.85546875" style="5"/>
    <col min="8697" max="8697" width="6.140625" style="5" customWidth="1"/>
    <col min="8698" max="8698" width="20.28515625" style="5" customWidth="1"/>
    <col min="8699" max="8699" width="12.42578125" style="5" customWidth="1"/>
    <col min="8700" max="8700" width="13" style="5" customWidth="1"/>
    <col min="8701" max="8701" width="12.5703125" style="5" customWidth="1"/>
    <col min="8702" max="8715" width="11.7109375" style="5" customWidth="1"/>
    <col min="8716" max="8716" width="12.28515625" style="5" customWidth="1"/>
    <col min="8717" max="8717" width="11.7109375" style="5" customWidth="1"/>
    <col min="8718" max="8718" width="12.85546875" style="5" customWidth="1"/>
    <col min="8719" max="8719" width="11.7109375" style="5" customWidth="1"/>
    <col min="8720" max="8720" width="12.7109375" style="5" customWidth="1"/>
    <col min="8721" max="8721" width="11.7109375" style="5" customWidth="1"/>
    <col min="8722" max="8722" width="13" style="5" customWidth="1"/>
    <col min="8723" max="8734" width="11.7109375" style="5" customWidth="1"/>
    <col min="8735" max="8735" width="12.5703125" style="5" customWidth="1"/>
    <col min="8736" max="8736" width="11.7109375" style="5" customWidth="1"/>
    <col min="8737" max="8737" width="13" style="5" customWidth="1"/>
    <col min="8738" max="8743" width="11.7109375" style="5" customWidth="1"/>
    <col min="8744" max="8744" width="13.7109375" style="5" customWidth="1"/>
    <col min="8745" max="8745" width="13.140625" style="5" customWidth="1"/>
    <col min="8746" max="8749" width="13" style="5" customWidth="1"/>
    <col min="8750" max="8756" width="11.7109375" style="5" customWidth="1"/>
    <col min="8757" max="8757" width="10.85546875" style="5" customWidth="1"/>
    <col min="8758" max="8758" width="11.7109375" style="5" customWidth="1"/>
    <col min="8759" max="8761" width="22.7109375" style="5" customWidth="1"/>
    <col min="8762" max="8764" width="20.7109375" style="5" customWidth="1"/>
    <col min="8765" max="8952" width="8.85546875" style="5"/>
    <col min="8953" max="8953" width="6.140625" style="5" customWidth="1"/>
    <col min="8954" max="8954" width="20.28515625" style="5" customWidth="1"/>
    <col min="8955" max="8955" width="12.42578125" style="5" customWidth="1"/>
    <col min="8956" max="8956" width="13" style="5" customWidth="1"/>
    <col min="8957" max="8957" width="12.5703125" style="5" customWidth="1"/>
    <col min="8958" max="8971" width="11.7109375" style="5" customWidth="1"/>
    <col min="8972" max="8972" width="12.28515625" style="5" customWidth="1"/>
    <col min="8973" max="8973" width="11.7109375" style="5" customWidth="1"/>
    <col min="8974" max="8974" width="12.85546875" style="5" customWidth="1"/>
    <col min="8975" max="8975" width="11.7109375" style="5" customWidth="1"/>
    <col min="8976" max="8976" width="12.7109375" style="5" customWidth="1"/>
    <col min="8977" max="8977" width="11.7109375" style="5" customWidth="1"/>
    <col min="8978" max="8978" width="13" style="5" customWidth="1"/>
    <col min="8979" max="8990" width="11.7109375" style="5" customWidth="1"/>
    <col min="8991" max="8991" width="12.5703125" style="5" customWidth="1"/>
    <col min="8992" max="8992" width="11.7109375" style="5" customWidth="1"/>
    <col min="8993" max="8993" width="13" style="5" customWidth="1"/>
    <col min="8994" max="8999" width="11.7109375" style="5" customWidth="1"/>
    <col min="9000" max="9000" width="13.7109375" style="5" customWidth="1"/>
    <col min="9001" max="9001" width="13.140625" style="5" customWidth="1"/>
    <col min="9002" max="9005" width="13" style="5" customWidth="1"/>
    <col min="9006" max="9012" width="11.7109375" style="5" customWidth="1"/>
    <col min="9013" max="9013" width="10.85546875" style="5" customWidth="1"/>
    <col min="9014" max="9014" width="11.7109375" style="5" customWidth="1"/>
    <col min="9015" max="9017" width="22.7109375" style="5" customWidth="1"/>
    <col min="9018" max="9020" width="20.7109375" style="5" customWidth="1"/>
    <col min="9021" max="9208" width="8.85546875" style="5"/>
    <col min="9209" max="9209" width="6.140625" style="5" customWidth="1"/>
    <col min="9210" max="9210" width="20.28515625" style="5" customWidth="1"/>
    <col min="9211" max="9211" width="12.42578125" style="5" customWidth="1"/>
    <col min="9212" max="9212" width="13" style="5" customWidth="1"/>
    <col min="9213" max="9213" width="12.5703125" style="5" customWidth="1"/>
    <col min="9214" max="9227" width="11.7109375" style="5" customWidth="1"/>
    <col min="9228" max="9228" width="12.28515625" style="5" customWidth="1"/>
    <col min="9229" max="9229" width="11.7109375" style="5" customWidth="1"/>
    <col min="9230" max="9230" width="12.85546875" style="5" customWidth="1"/>
    <col min="9231" max="9231" width="11.7109375" style="5" customWidth="1"/>
    <col min="9232" max="9232" width="12.7109375" style="5" customWidth="1"/>
    <col min="9233" max="9233" width="11.7109375" style="5" customWidth="1"/>
    <col min="9234" max="9234" width="13" style="5" customWidth="1"/>
    <col min="9235" max="9246" width="11.7109375" style="5" customWidth="1"/>
    <col min="9247" max="9247" width="12.5703125" style="5" customWidth="1"/>
    <col min="9248" max="9248" width="11.7109375" style="5" customWidth="1"/>
    <col min="9249" max="9249" width="13" style="5" customWidth="1"/>
    <col min="9250" max="9255" width="11.7109375" style="5" customWidth="1"/>
    <col min="9256" max="9256" width="13.7109375" style="5" customWidth="1"/>
    <col min="9257" max="9257" width="13.140625" style="5" customWidth="1"/>
    <col min="9258" max="9261" width="13" style="5" customWidth="1"/>
    <col min="9262" max="9268" width="11.7109375" style="5" customWidth="1"/>
    <col min="9269" max="9269" width="10.85546875" style="5" customWidth="1"/>
    <col min="9270" max="9270" width="11.7109375" style="5" customWidth="1"/>
    <col min="9271" max="9273" width="22.7109375" style="5" customWidth="1"/>
    <col min="9274" max="9276" width="20.7109375" style="5" customWidth="1"/>
    <col min="9277" max="9464" width="8.85546875" style="5"/>
    <col min="9465" max="9465" width="6.140625" style="5" customWidth="1"/>
    <col min="9466" max="9466" width="20.28515625" style="5" customWidth="1"/>
    <col min="9467" max="9467" width="12.42578125" style="5" customWidth="1"/>
    <col min="9468" max="9468" width="13" style="5" customWidth="1"/>
    <col min="9469" max="9469" width="12.5703125" style="5" customWidth="1"/>
    <col min="9470" max="9483" width="11.7109375" style="5" customWidth="1"/>
    <col min="9484" max="9484" width="12.28515625" style="5" customWidth="1"/>
    <col min="9485" max="9485" width="11.7109375" style="5" customWidth="1"/>
    <col min="9486" max="9486" width="12.85546875" style="5" customWidth="1"/>
    <col min="9487" max="9487" width="11.7109375" style="5" customWidth="1"/>
    <col min="9488" max="9488" width="12.7109375" style="5" customWidth="1"/>
    <col min="9489" max="9489" width="11.7109375" style="5" customWidth="1"/>
    <col min="9490" max="9490" width="13" style="5" customWidth="1"/>
    <col min="9491" max="9502" width="11.7109375" style="5" customWidth="1"/>
    <col min="9503" max="9503" width="12.5703125" style="5" customWidth="1"/>
    <col min="9504" max="9504" width="11.7109375" style="5" customWidth="1"/>
    <col min="9505" max="9505" width="13" style="5" customWidth="1"/>
    <col min="9506" max="9511" width="11.7109375" style="5" customWidth="1"/>
    <col min="9512" max="9512" width="13.7109375" style="5" customWidth="1"/>
    <col min="9513" max="9513" width="13.140625" style="5" customWidth="1"/>
    <col min="9514" max="9517" width="13" style="5" customWidth="1"/>
    <col min="9518" max="9524" width="11.7109375" style="5" customWidth="1"/>
    <col min="9525" max="9525" width="10.85546875" style="5" customWidth="1"/>
    <col min="9526" max="9526" width="11.7109375" style="5" customWidth="1"/>
    <col min="9527" max="9529" width="22.7109375" style="5" customWidth="1"/>
    <col min="9530" max="9532" width="20.7109375" style="5" customWidth="1"/>
    <col min="9533" max="9720" width="8.85546875" style="5"/>
    <col min="9721" max="9721" width="6.140625" style="5" customWidth="1"/>
    <col min="9722" max="9722" width="20.28515625" style="5" customWidth="1"/>
    <col min="9723" max="9723" width="12.42578125" style="5" customWidth="1"/>
    <col min="9724" max="9724" width="13" style="5" customWidth="1"/>
    <col min="9725" max="9725" width="12.5703125" style="5" customWidth="1"/>
    <col min="9726" max="9739" width="11.7109375" style="5" customWidth="1"/>
    <col min="9740" max="9740" width="12.28515625" style="5" customWidth="1"/>
    <col min="9741" max="9741" width="11.7109375" style="5" customWidth="1"/>
    <col min="9742" max="9742" width="12.85546875" style="5" customWidth="1"/>
    <col min="9743" max="9743" width="11.7109375" style="5" customWidth="1"/>
    <col min="9744" max="9744" width="12.7109375" style="5" customWidth="1"/>
    <col min="9745" max="9745" width="11.7109375" style="5" customWidth="1"/>
    <col min="9746" max="9746" width="13" style="5" customWidth="1"/>
    <col min="9747" max="9758" width="11.7109375" style="5" customWidth="1"/>
    <col min="9759" max="9759" width="12.5703125" style="5" customWidth="1"/>
    <col min="9760" max="9760" width="11.7109375" style="5" customWidth="1"/>
    <col min="9761" max="9761" width="13" style="5" customWidth="1"/>
    <col min="9762" max="9767" width="11.7109375" style="5" customWidth="1"/>
    <col min="9768" max="9768" width="13.7109375" style="5" customWidth="1"/>
    <col min="9769" max="9769" width="13.140625" style="5" customWidth="1"/>
    <col min="9770" max="9773" width="13" style="5" customWidth="1"/>
    <col min="9774" max="9780" width="11.7109375" style="5" customWidth="1"/>
    <col min="9781" max="9781" width="10.85546875" style="5" customWidth="1"/>
    <col min="9782" max="9782" width="11.7109375" style="5" customWidth="1"/>
    <col min="9783" max="9785" width="22.7109375" style="5" customWidth="1"/>
    <col min="9786" max="9788" width="20.7109375" style="5" customWidth="1"/>
    <col min="9789" max="9976" width="8.85546875" style="5"/>
    <col min="9977" max="9977" width="6.140625" style="5" customWidth="1"/>
    <col min="9978" max="9978" width="20.28515625" style="5" customWidth="1"/>
    <col min="9979" max="9979" width="12.42578125" style="5" customWidth="1"/>
    <col min="9980" max="9980" width="13" style="5" customWidth="1"/>
    <col min="9981" max="9981" width="12.5703125" style="5" customWidth="1"/>
    <col min="9982" max="9995" width="11.7109375" style="5" customWidth="1"/>
    <col min="9996" max="9996" width="12.28515625" style="5" customWidth="1"/>
    <col min="9997" max="9997" width="11.7109375" style="5" customWidth="1"/>
    <col min="9998" max="9998" width="12.85546875" style="5" customWidth="1"/>
    <col min="9999" max="9999" width="11.7109375" style="5" customWidth="1"/>
    <col min="10000" max="10000" width="12.7109375" style="5" customWidth="1"/>
    <col min="10001" max="10001" width="11.7109375" style="5" customWidth="1"/>
    <col min="10002" max="10002" width="13" style="5" customWidth="1"/>
    <col min="10003" max="10014" width="11.7109375" style="5" customWidth="1"/>
    <col min="10015" max="10015" width="12.5703125" style="5" customWidth="1"/>
    <col min="10016" max="10016" width="11.7109375" style="5" customWidth="1"/>
    <col min="10017" max="10017" width="13" style="5" customWidth="1"/>
    <col min="10018" max="10023" width="11.7109375" style="5" customWidth="1"/>
    <col min="10024" max="10024" width="13.7109375" style="5" customWidth="1"/>
    <col min="10025" max="10025" width="13.140625" style="5" customWidth="1"/>
    <col min="10026" max="10029" width="13" style="5" customWidth="1"/>
    <col min="10030" max="10036" width="11.7109375" style="5" customWidth="1"/>
    <col min="10037" max="10037" width="10.85546875" style="5" customWidth="1"/>
    <col min="10038" max="10038" width="11.7109375" style="5" customWidth="1"/>
    <col min="10039" max="10041" width="22.7109375" style="5" customWidth="1"/>
    <col min="10042" max="10044" width="20.7109375" style="5" customWidth="1"/>
    <col min="10045" max="10232" width="8.85546875" style="5"/>
    <col min="10233" max="10233" width="6.140625" style="5" customWidth="1"/>
    <col min="10234" max="10234" width="20.28515625" style="5" customWidth="1"/>
    <col min="10235" max="10235" width="12.42578125" style="5" customWidth="1"/>
    <col min="10236" max="10236" width="13" style="5" customWidth="1"/>
    <col min="10237" max="10237" width="12.5703125" style="5" customWidth="1"/>
    <col min="10238" max="10251" width="11.7109375" style="5" customWidth="1"/>
    <col min="10252" max="10252" width="12.28515625" style="5" customWidth="1"/>
    <col min="10253" max="10253" width="11.7109375" style="5" customWidth="1"/>
    <col min="10254" max="10254" width="12.85546875" style="5" customWidth="1"/>
    <col min="10255" max="10255" width="11.7109375" style="5" customWidth="1"/>
    <col min="10256" max="10256" width="12.7109375" style="5" customWidth="1"/>
    <col min="10257" max="10257" width="11.7109375" style="5" customWidth="1"/>
    <col min="10258" max="10258" width="13" style="5" customWidth="1"/>
    <col min="10259" max="10270" width="11.7109375" style="5" customWidth="1"/>
    <col min="10271" max="10271" width="12.5703125" style="5" customWidth="1"/>
    <col min="10272" max="10272" width="11.7109375" style="5" customWidth="1"/>
    <col min="10273" max="10273" width="13" style="5" customWidth="1"/>
    <col min="10274" max="10279" width="11.7109375" style="5" customWidth="1"/>
    <col min="10280" max="10280" width="13.7109375" style="5" customWidth="1"/>
    <col min="10281" max="10281" width="13.140625" style="5" customWidth="1"/>
    <col min="10282" max="10285" width="13" style="5" customWidth="1"/>
    <col min="10286" max="10292" width="11.7109375" style="5" customWidth="1"/>
    <col min="10293" max="10293" width="10.85546875" style="5" customWidth="1"/>
    <col min="10294" max="10294" width="11.7109375" style="5" customWidth="1"/>
    <col min="10295" max="10297" width="22.7109375" style="5" customWidth="1"/>
    <col min="10298" max="10300" width="20.7109375" style="5" customWidth="1"/>
    <col min="10301" max="10488" width="8.85546875" style="5"/>
    <col min="10489" max="10489" width="6.140625" style="5" customWidth="1"/>
    <col min="10490" max="10490" width="20.28515625" style="5" customWidth="1"/>
    <col min="10491" max="10491" width="12.42578125" style="5" customWidth="1"/>
    <col min="10492" max="10492" width="13" style="5" customWidth="1"/>
    <col min="10493" max="10493" width="12.5703125" style="5" customWidth="1"/>
    <col min="10494" max="10507" width="11.7109375" style="5" customWidth="1"/>
    <col min="10508" max="10508" width="12.28515625" style="5" customWidth="1"/>
    <col min="10509" max="10509" width="11.7109375" style="5" customWidth="1"/>
    <col min="10510" max="10510" width="12.85546875" style="5" customWidth="1"/>
    <col min="10511" max="10511" width="11.7109375" style="5" customWidth="1"/>
    <col min="10512" max="10512" width="12.7109375" style="5" customWidth="1"/>
    <col min="10513" max="10513" width="11.7109375" style="5" customWidth="1"/>
    <col min="10514" max="10514" width="13" style="5" customWidth="1"/>
    <col min="10515" max="10526" width="11.7109375" style="5" customWidth="1"/>
    <col min="10527" max="10527" width="12.5703125" style="5" customWidth="1"/>
    <col min="10528" max="10528" width="11.7109375" style="5" customWidth="1"/>
    <col min="10529" max="10529" width="13" style="5" customWidth="1"/>
    <col min="10530" max="10535" width="11.7109375" style="5" customWidth="1"/>
    <col min="10536" max="10536" width="13.7109375" style="5" customWidth="1"/>
    <col min="10537" max="10537" width="13.140625" style="5" customWidth="1"/>
    <col min="10538" max="10541" width="13" style="5" customWidth="1"/>
    <col min="10542" max="10548" width="11.7109375" style="5" customWidth="1"/>
    <col min="10549" max="10549" width="10.85546875" style="5" customWidth="1"/>
    <col min="10550" max="10550" width="11.7109375" style="5" customWidth="1"/>
    <col min="10551" max="10553" width="22.7109375" style="5" customWidth="1"/>
    <col min="10554" max="10556" width="20.7109375" style="5" customWidth="1"/>
    <col min="10557" max="10744" width="8.85546875" style="5"/>
    <col min="10745" max="10745" width="6.140625" style="5" customWidth="1"/>
    <col min="10746" max="10746" width="20.28515625" style="5" customWidth="1"/>
    <col min="10747" max="10747" width="12.42578125" style="5" customWidth="1"/>
    <col min="10748" max="10748" width="13" style="5" customWidth="1"/>
    <col min="10749" max="10749" width="12.5703125" style="5" customWidth="1"/>
    <col min="10750" max="10763" width="11.7109375" style="5" customWidth="1"/>
    <col min="10764" max="10764" width="12.28515625" style="5" customWidth="1"/>
    <col min="10765" max="10765" width="11.7109375" style="5" customWidth="1"/>
    <col min="10766" max="10766" width="12.85546875" style="5" customWidth="1"/>
    <col min="10767" max="10767" width="11.7109375" style="5" customWidth="1"/>
    <col min="10768" max="10768" width="12.7109375" style="5" customWidth="1"/>
    <col min="10769" max="10769" width="11.7109375" style="5" customWidth="1"/>
    <col min="10770" max="10770" width="13" style="5" customWidth="1"/>
    <col min="10771" max="10782" width="11.7109375" style="5" customWidth="1"/>
    <col min="10783" max="10783" width="12.5703125" style="5" customWidth="1"/>
    <col min="10784" max="10784" width="11.7109375" style="5" customWidth="1"/>
    <col min="10785" max="10785" width="13" style="5" customWidth="1"/>
    <col min="10786" max="10791" width="11.7109375" style="5" customWidth="1"/>
    <col min="10792" max="10792" width="13.7109375" style="5" customWidth="1"/>
    <col min="10793" max="10793" width="13.140625" style="5" customWidth="1"/>
    <col min="10794" max="10797" width="13" style="5" customWidth="1"/>
    <col min="10798" max="10804" width="11.7109375" style="5" customWidth="1"/>
    <col min="10805" max="10805" width="10.85546875" style="5" customWidth="1"/>
    <col min="10806" max="10806" width="11.7109375" style="5" customWidth="1"/>
    <col min="10807" max="10809" width="22.7109375" style="5" customWidth="1"/>
    <col min="10810" max="10812" width="20.7109375" style="5" customWidth="1"/>
    <col min="10813" max="11000" width="8.85546875" style="5"/>
    <col min="11001" max="11001" width="6.140625" style="5" customWidth="1"/>
    <col min="11002" max="11002" width="20.28515625" style="5" customWidth="1"/>
    <col min="11003" max="11003" width="12.42578125" style="5" customWidth="1"/>
    <col min="11004" max="11004" width="13" style="5" customWidth="1"/>
    <col min="11005" max="11005" width="12.5703125" style="5" customWidth="1"/>
    <col min="11006" max="11019" width="11.7109375" style="5" customWidth="1"/>
    <col min="11020" max="11020" width="12.28515625" style="5" customWidth="1"/>
    <col min="11021" max="11021" width="11.7109375" style="5" customWidth="1"/>
    <col min="11022" max="11022" width="12.85546875" style="5" customWidth="1"/>
    <col min="11023" max="11023" width="11.7109375" style="5" customWidth="1"/>
    <col min="11024" max="11024" width="12.7109375" style="5" customWidth="1"/>
    <col min="11025" max="11025" width="11.7109375" style="5" customWidth="1"/>
    <col min="11026" max="11026" width="13" style="5" customWidth="1"/>
    <col min="11027" max="11038" width="11.7109375" style="5" customWidth="1"/>
    <col min="11039" max="11039" width="12.5703125" style="5" customWidth="1"/>
    <col min="11040" max="11040" width="11.7109375" style="5" customWidth="1"/>
    <col min="11041" max="11041" width="13" style="5" customWidth="1"/>
    <col min="11042" max="11047" width="11.7109375" style="5" customWidth="1"/>
    <col min="11048" max="11048" width="13.7109375" style="5" customWidth="1"/>
    <col min="11049" max="11049" width="13.140625" style="5" customWidth="1"/>
    <col min="11050" max="11053" width="13" style="5" customWidth="1"/>
    <col min="11054" max="11060" width="11.7109375" style="5" customWidth="1"/>
    <col min="11061" max="11061" width="10.85546875" style="5" customWidth="1"/>
    <col min="11062" max="11062" width="11.7109375" style="5" customWidth="1"/>
    <col min="11063" max="11065" width="22.7109375" style="5" customWidth="1"/>
    <col min="11066" max="11068" width="20.7109375" style="5" customWidth="1"/>
    <col min="11069" max="11256" width="8.85546875" style="5"/>
    <col min="11257" max="11257" width="6.140625" style="5" customWidth="1"/>
    <col min="11258" max="11258" width="20.28515625" style="5" customWidth="1"/>
    <col min="11259" max="11259" width="12.42578125" style="5" customWidth="1"/>
    <col min="11260" max="11260" width="13" style="5" customWidth="1"/>
    <col min="11261" max="11261" width="12.5703125" style="5" customWidth="1"/>
    <col min="11262" max="11275" width="11.7109375" style="5" customWidth="1"/>
    <col min="11276" max="11276" width="12.28515625" style="5" customWidth="1"/>
    <col min="11277" max="11277" width="11.7109375" style="5" customWidth="1"/>
    <col min="11278" max="11278" width="12.85546875" style="5" customWidth="1"/>
    <col min="11279" max="11279" width="11.7109375" style="5" customWidth="1"/>
    <col min="11280" max="11280" width="12.7109375" style="5" customWidth="1"/>
    <col min="11281" max="11281" width="11.7109375" style="5" customWidth="1"/>
    <col min="11282" max="11282" width="13" style="5" customWidth="1"/>
    <col min="11283" max="11294" width="11.7109375" style="5" customWidth="1"/>
    <col min="11295" max="11295" width="12.5703125" style="5" customWidth="1"/>
    <col min="11296" max="11296" width="11.7109375" style="5" customWidth="1"/>
    <col min="11297" max="11297" width="13" style="5" customWidth="1"/>
    <col min="11298" max="11303" width="11.7109375" style="5" customWidth="1"/>
    <col min="11304" max="11304" width="13.7109375" style="5" customWidth="1"/>
    <col min="11305" max="11305" width="13.140625" style="5" customWidth="1"/>
    <col min="11306" max="11309" width="13" style="5" customWidth="1"/>
    <col min="11310" max="11316" width="11.7109375" style="5" customWidth="1"/>
    <col min="11317" max="11317" width="10.85546875" style="5" customWidth="1"/>
    <col min="11318" max="11318" width="11.7109375" style="5" customWidth="1"/>
    <col min="11319" max="11321" width="22.7109375" style="5" customWidth="1"/>
    <col min="11322" max="11324" width="20.7109375" style="5" customWidth="1"/>
    <col min="11325" max="11512" width="8.85546875" style="5"/>
    <col min="11513" max="11513" width="6.140625" style="5" customWidth="1"/>
    <col min="11514" max="11514" width="20.28515625" style="5" customWidth="1"/>
    <col min="11515" max="11515" width="12.42578125" style="5" customWidth="1"/>
    <col min="11516" max="11516" width="13" style="5" customWidth="1"/>
    <col min="11517" max="11517" width="12.5703125" style="5" customWidth="1"/>
    <col min="11518" max="11531" width="11.7109375" style="5" customWidth="1"/>
    <col min="11532" max="11532" width="12.28515625" style="5" customWidth="1"/>
    <col min="11533" max="11533" width="11.7109375" style="5" customWidth="1"/>
    <col min="11534" max="11534" width="12.85546875" style="5" customWidth="1"/>
    <col min="11535" max="11535" width="11.7109375" style="5" customWidth="1"/>
    <col min="11536" max="11536" width="12.7109375" style="5" customWidth="1"/>
    <col min="11537" max="11537" width="11.7109375" style="5" customWidth="1"/>
    <col min="11538" max="11538" width="13" style="5" customWidth="1"/>
    <col min="11539" max="11550" width="11.7109375" style="5" customWidth="1"/>
    <col min="11551" max="11551" width="12.5703125" style="5" customWidth="1"/>
    <col min="11552" max="11552" width="11.7109375" style="5" customWidth="1"/>
    <col min="11553" max="11553" width="13" style="5" customWidth="1"/>
    <col min="11554" max="11559" width="11.7109375" style="5" customWidth="1"/>
    <col min="11560" max="11560" width="13.7109375" style="5" customWidth="1"/>
    <col min="11561" max="11561" width="13.140625" style="5" customWidth="1"/>
    <col min="11562" max="11565" width="13" style="5" customWidth="1"/>
    <col min="11566" max="11572" width="11.7109375" style="5" customWidth="1"/>
    <col min="11573" max="11573" width="10.85546875" style="5" customWidth="1"/>
    <col min="11574" max="11574" width="11.7109375" style="5" customWidth="1"/>
    <col min="11575" max="11577" width="22.7109375" style="5" customWidth="1"/>
    <col min="11578" max="11580" width="20.7109375" style="5" customWidth="1"/>
    <col min="11581" max="11768" width="8.85546875" style="5"/>
    <col min="11769" max="11769" width="6.140625" style="5" customWidth="1"/>
    <col min="11770" max="11770" width="20.28515625" style="5" customWidth="1"/>
    <col min="11771" max="11771" width="12.42578125" style="5" customWidth="1"/>
    <col min="11772" max="11772" width="13" style="5" customWidth="1"/>
    <col min="11773" max="11773" width="12.5703125" style="5" customWidth="1"/>
    <col min="11774" max="11787" width="11.7109375" style="5" customWidth="1"/>
    <col min="11788" max="11788" width="12.28515625" style="5" customWidth="1"/>
    <col min="11789" max="11789" width="11.7109375" style="5" customWidth="1"/>
    <col min="11790" max="11790" width="12.85546875" style="5" customWidth="1"/>
    <col min="11791" max="11791" width="11.7109375" style="5" customWidth="1"/>
    <col min="11792" max="11792" width="12.7109375" style="5" customWidth="1"/>
    <col min="11793" max="11793" width="11.7109375" style="5" customWidth="1"/>
    <col min="11794" max="11794" width="13" style="5" customWidth="1"/>
    <col min="11795" max="11806" width="11.7109375" style="5" customWidth="1"/>
    <col min="11807" max="11807" width="12.5703125" style="5" customWidth="1"/>
    <col min="11808" max="11808" width="11.7109375" style="5" customWidth="1"/>
    <col min="11809" max="11809" width="13" style="5" customWidth="1"/>
    <col min="11810" max="11815" width="11.7109375" style="5" customWidth="1"/>
    <col min="11816" max="11816" width="13.7109375" style="5" customWidth="1"/>
    <col min="11817" max="11817" width="13.140625" style="5" customWidth="1"/>
    <col min="11818" max="11821" width="13" style="5" customWidth="1"/>
    <col min="11822" max="11828" width="11.7109375" style="5" customWidth="1"/>
    <col min="11829" max="11829" width="10.85546875" style="5" customWidth="1"/>
    <col min="11830" max="11830" width="11.7109375" style="5" customWidth="1"/>
    <col min="11831" max="11833" width="22.7109375" style="5" customWidth="1"/>
    <col min="11834" max="11836" width="20.7109375" style="5" customWidth="1"/>
    <col min="11837" max="12024" width="8.85546875" style="5"/>
    <col min="12025" max="12025" width="6.140625" style="5" customWidth="1"/>
    <col min="12026" max="12026" width="20.28515625" style="5" customWidth="1"/>
    <col min="12027" max="12027" width="12.42578125" style="5" customWidth="1"/>
    <col min="12028" max="12028" width="13" style="5" customWidth="1"/>
    <col min="12029" max="12029" width="12.5703125" style="5" customWidth="1"/>
    <col min="12030" max="12043" width="11.7109375" style="5" customWidth="1"/>
    <col min="12044" max="12044" width="12.28515625" style="5" customWidth="1"/>
    <col min="12045" max="12045" width="11.7109375" style="5" customWidth="1"/>
    <col min="12046" max="12046" width="12.85546875" style="5" customWidth="1"/>
    <col min="12047" max="12047" width="11.7109375" style="5" customWidth="1"/>
    <col min="12048" max="12048" width="12.7109375" style="5" customWidth="1"/>
    <col min="12049" max="12049" width="11.7109375" style="5" customWidth="1"/>
    <col min="12050" max="12050" width="13" style="5" customWidth="1"/>
    <col min="12051" max="12062" width="11.7109375" style="5" customWidth="1"/>
    <col min="12063" max="12063" width="12.5703125" style="5" customWidth="1"/>
    <col min="12064" max="12064" width="11.7109375" style="5" customWidth="1"/>
    <col min="12065" max="12065" width="13" style="5" customWidth="1"/>
    <col min="12066" max="12071" width="11.7109375" style="5" customWidth="1"/>
    <col min="12072" max="12072" width="13.7109375" style="5" customWidth="1"/>
    <col min="12073" max="12073" width="13.140625" style="5" customWidth="1"/>
    <col min="12074" max="12077" width="13" style="5" customWidth="1"/>
    <col min="12078" max="12084" width="11.7109375" style="5" customWidth="1"/>
    <col min="12085" max="12085" width="10.85546875" style="5" customWidth="1"/>
    <col min="12086" max="12086" width="11.7109375" style="5" customWidth="1"/>
    <col min="12087" max="12089" width="22.7109375" style="5" customWidth="1"/>
    <col min="12090" max="12092" width="20.7109375" style="5" customWidth="1"/>
    <col min="12093" max="12280" width="8.85546875" style="5"/>
    <col min="12281" max="12281" width="6.140625" style="5" customWidth="1"/>
    <col min="12282" max="12282" width="20.28515625" style="5" customWidth="1"/>
    <col min="12283" max="12283" width="12.42578125" style="5" customWidth="1"/>
    <col min="12284" max="12284" width="13" style="5" customWidth="1"/>
    <col min="12285" max="12285" width="12.5703125" style="5" customWidth="1"/>
    <col min="12286" max="12299" width="11.7109375" style="5" customWidth="1"/>
    <col min="12300" max="12300" width="12.28515625" style="5" customWidth="1"/>
    <col min="12301" max="12301" width="11.7109375" style="5" customWidth="1"/>
    <col min="12302" max="12302" width="12.85546875" style="5" customWidth="1"/>
    <col min="12303" max="12303" width="11.7109375" style="5" customWidth="1"/>
    <col min="12304" max="12304" width="12.7109375" style="5" customWidth="1"/>
    <col min="12305" max="12305" width="11.7109375" style="5" customWidth="1"/>
    <col min="12306" max="12306" width="13" style="5" customWidth="1"/>
    <col min="12307" max="12318" width="11.7109375" style="5" customWidth="1"/>
    <col min="12319" max="12319" width="12.5703125" style="5" customWidth="1"/>
    <col min="12320" max="12320" width="11.7109375" style="5" customWidth="1"/>
    <col min="12321" max="12321" width="13" style="5" customWidth="1"/>
    <col min="12322" max="12327" width="11.7109375" style="5" customWidth="1"/>
    <col min="12328" max="12328" width="13.7109375" style="5" customWidth="1"/>
    <col min="12329" max="12329" width="13.140625" style="5" customWidth="1"/>
    <col min="12330" max="12333" width="13" style="5" customWidth="1"/>
    <col min="12334" max="12340" width="11.7109375" style="5" customWidth="1"/>
    <col min="12341" max="12341" width="10.85546875" style="5" customWidth="1"/>
    <col min="12342" max="12342" width="11.7109375" style="5" customWidth="1"/>
    <col min="12343" max="12345" width="22.7109375" style="5" customWidth="1"/>
    <col min="12346" max="12348" width="20.7109375" style="5" customWidth="1"/>
    <col min="12349" max="12536" width="8.85546875" style="5"/>
    <col min="12537" max="12537" width="6.140625" style="5" customWidth="1"/>
    <col min="12538" max="12538" width="20.28515625" style="5" customWidth="1"/>
    <col min="12539" max="12539" width="12.42578125" style="5" customWidth="1"/>
    <col min="12540" max="12540" width="13" style="5" customWidth="1"/>
    <col min="12541" max="12541" width="12.5703125" style="5" customWidth="1"/>
    <col min="12542" max="12555" width="11.7109375" style="5" customWidth="1"/>
    <col min="12556" max="12556" width="12.28515625" style="5" customWidth="1"/>
    <col min="12557" max="12557" width="11.7109375" style="5" customWidth="1"/>
    <col min="12558" max="12558" width="12.85546875" style="5" customWidth="1"/>
    <col min="12559" max="12559" width="11.7109375" style="5" customWidth="1"/>
    <col min="12560" max="12560" width="12.7109375" style="5" customWidth="1"/>
    <col min="12561" max="12561" width="11.7109375" style="5" customWidth="1"/>
    <col min="12562" max="12562" width="13" style="5" customWidth="1"/>
    <col min="12563" max="12574" width="11.7109375" style="5" customWidth="1"/>
    <col min="12575" max="12575" width="12.5703125" style="5" customWidth="1"/>
    <col min="12576" max="12576" width="11.7109375" style="5" customWidth="1"/>
    <col min="12577" max="12577" width="13" style="5" customWidth="1"/>
    <col min="12578" max="12583" width="11.7109375" style="5" customWidth="1"/>
    <col min="12584" max="12584" width="13.7109375" style="5" customWidth="1"/>
    <col min="12585" max="12585" width="13.140625" style="5" customWidth="1"/>
    <col min="12586" max="12589" width="13" style="5" customWidth="1"/>
    <col min="12590" max="12596" width="11.7109375" style="5" customWidth="1"/>
    <col min="12597" max="12597" width="10.85546875" style="5" customWidth="1"/>
    <col min="12598" max="12598" width="11.7109375" style="5" customWidth="1"/>
    <col min="12599" max="12601" width="22.7109375" style="5" customWidth="1"/>
    <col min="12602" max="12604" width="20.7109375" style="5" customWidth="1"/>
    <col min="12605" max="12792" width="8.85546875" style="5"/>
    <col min="12793" max="12793" width="6.140625" style="5" customWidth="1"/>
    <col min="12794" max="12794" width="20.28515625" style="5" customWidth="1"/>
    <col min="12795" max="12795" width="12.42578125" style="5" customWidth="1"/>
    <col min="12796" max="12796" width="13" style="5" customWidth="1"/>
    <col min="12797" max="12797" width="12.5703125" style="5" customWidth="1"/>
    <col min="12798" max="12811" width="11.7109375" style="5" customWidth="1"/>
    <col min="12812" max="12812" width="12.28515625" style="5" customWidth="1"/>
    <col min="12813" max="12813" width="11.7109375" style="5" customWidth="1"/>
    <col min="12814" max="12814" width="12.85546875" style="5" customWidth="1"/>
    <col min="12815" max="12815" width="11.7109375" style="5" customWidth="1"/>
    <col min="12816" max="12816" width="12.7109375" style="5" customWidth="1"/>
    <col min="12817" max="12817" width="11.7109375" style="5" customWidth="1"/>
    <col min="12818" max="12818" width="13" style="5" customWidth="1"/>
    <col min="12819" max="12830" width="11.7109375" style="5" customWidth="1"/>
    <col min="12831" max="12831" width="12.5703125" style="5" customWidth="1"/>
    <col min="12832" max="12832" width="11.7109375" style="5" customWidth="1"/>
    <col min="12833" max="12833" width="13" style="5" customWidth="1"/>
    <col min="12834" max="12839" width="11.7109375" style="5" customWidth="1"/>
    <col min="12840" max="12840" width="13.7109375" style="5" customWidth="1"/>
    <col min="12841" max="12841" width="13.140625" style="5" customWidth="1"/>
    <col min="12842" max="12845" width="13" style="5" customWidth="1"/>
    <col min="12846" max="12852" width="11.7109375" style="5" customWidth="1"/>
    <col min="12853" max="12853" width="10.85546875" style="5" customWidth="1"/>
    <col min="12854" max="12854" width="11.7109375" style="5" customWidth="1"/>
    <col min="12855" max="12857" width="22.7109375" style="5" customWidth="1"/>
    <col min="12858" max="12860" width="20.7109375" style="5" customWidth="1"/>
    <col min="12861" max="13048" width="8.85546875" style="5"/>
    <col min="13049" max="13049" width="6.140625" style="5" customWidth="1"/>
    <col min="13050" max="13050" width="20.28515625" style="5" customWidth="1"/>
    <col min="13051" max="13051" width="12.42578125" style="5" customWidth="1"/>
    <col min="13052" max="13052" width="13" style="5" customWidth="1"/>
    <col min="13053" max="13053" width="12.5703125" style="5" customWidth="1"/>
    <col min="13054" max="13067" width="11.7109375" style="5" customWidth="1"/>
    <col min="13068" max="13068" width="12.28515625" style="5" customWidth="1"/>
    <col min="13069" max="13069" width="11.7109375" style="5" customWidth="1"/>
    <col min="13070" max="13070" width="12.85546875" style="5" customWidth="1"/>
    <col min="13071" max="13071" width="11.7109375" style="5" customWidth="1"/>
    <col min="13072" max="13072" width="12.7109375" style="5" customWidth="1"/>
    <col min="13073" max="13073" width="11.7109375" style="5" customWidth="1"/>
    <col min="13074" max="13074" width="13" style="5" customWidth="1"/>
    <col min="13075" max="13086" width="11.7109375" style="5" customWidth="1"/>
    <col min="13087" max="13087" width="12.5703125" style="5" customWidth="1"/>
    <col min="13088" max="13088" width="11.7109375" style="5" customWidth="1"/>
    <col min="13089" max="13089" width="13" style="5" customWidth="1"/>
    <col min="13090" max="13095" width="11.7109375" style="5" customWidth="1"/>
    <col min="13096" max="13096" width="13.7109375" style="5" customWidth="1"/>
    <col min="13097" max="13097" width="13.140625" style="5" customWidth="1"/>
    <col min="13098" max="13101" width="13" style="5" customWidth="1"/>
    <col min="13102" max="13108" width="11.7109375" style="5" customWidth="1"/>
    <col min="13109" max="13109" width="10.85546875" style="5" customWidth="1"/>
    <col min="13110" max="13110" width="11.7109375" style="5" customWidth="1"/>
    <col min="13111" max="13113" width="22.7109375" style="5" customWidth="1"/>
    <col min="13114" max="13116" width="20.7109375" style="5" customWidth="1"/>
    <col min="13117" max="13304" width="8.85546875" style="5"/>
    <col min="13305" max="13305" width="6.140625" style="5" customWidth="1"/>
    <col min="13306" max="13306" width="20.28515625" style="5" customWidth="1"/>
    <col min="13307" max="13307" width="12.42578125" style="5" customWidth="1"/>
    <col min="13308" max="13308" width="13" style="5" customWidth="1"/>
    <col min="13309" max="13309" width="12.5703125" style="5" customWidth="1"/>
    <col min="13310" max="13323" width="11.7109375" style="5" customWidth="1"/>
    <col min="13324" max="13324" width="12.28515625" style="5" customWidth="1"/>
    <col min="13325" max="13325" width="11.7109375" style="5" customWidth="1"/>
    <col min="13326" max="13326" width="12.85546875" style="5" customWidth="1"/>
    <col min="13327" max="13327" width="11.7109375" style="5" customWidth="1"/>
    <col min="13328" max="13328" width="12.7109375" style="5" customWidth="1"/>
    <col min="13329" max="13329" width="11.7109375" style="5" customWidth="1"/>
    <col min="13330" max="13330" width="13" style="5" customWidth="1"/>
    <col min="13331" max="13342" width="11.7109375" style="5" customWidth="1"/>
    <col min="13343" max="13343" width="12.5703125" style="5" customWidth="1"/>
    <col min="13344" max="13344" width="11.7109375" style="5" customWidth="1"/>
    <col min="13345" max="13345" width="13" style="5" customWidth="1"/>
    <col min="13346" max="13351" width="11.7109375" style="5" customWidth="1"/>
    <col min="13352" max="13352" width="13.7109375" style="5" customWidth="1"/>
    <col min="13353" max="13353" width="13.140625" style="5" customWidth="1"/>
    <col min="13354" max="13357" width="13" style="5" customWidth="1"/>
    <col min="13358" max="13364" width="11.7109375" style="5" customWidth="1"/>
    <col min="13365" max="13365" width="10.85546875" style="5" customWidth="1"/>
    <col min="13366" max="13366" width="11.7109375" style="5" customWidth="1"/>
    <col min="13367" max="13369" width="22.7109375" style="5" customWidth="1"/>
    <col min="13370" max="13372" width="20.7109375" style="5" customWidth="1"/>
    <col min="13373" max="13560" width="8.85546875" style="5"/>
    <col min="13561" max="13561" width="6.140625" style="5" customWidth="1"/>
    <col min="13562" max="13562" width="20.28515625" style="5" customWidth="1"/>
    <col min="13563" max="13563" width="12.42578125" style="5" customWidth="1"/>
    <col min="13564" max="13564" width="13" style="5" customWidth="1"/>
    <col min="13565" max="13565" width="12.5703125" style="5" customWidth="1"/>
    <col min="13566" max="13579" width="11.7109375" style="5" customWidth="1"/>
    <col min="13580" max="13580" width="12.28515625" style="5" customWidth="1"/>
    <col min="13581" max="13581" width="11.7109375" style="5" customWidth="1"/>
    <col min="13582" max="13582" width="12.85546875" style="5" customWidth="1"/>
    <col min="13583" max="13583" width="11.7109375" style="5" customWidth="1"/>
    <col min="13584" max="13584" width="12.7109375" style="5" customWidth="1"/>
    <col min="13585" max="13585" width="11.7109375" style="5" customWidth="1"/>
    <col min="13586" max="13586" width="13" style="5" customWidth="1"/>
    <col min="13587" max="13598" width="11.7109375" style="5" customWidth="1"/>
    <col min="13599" max="13599" width="12.5703125" style="5" customWidth="1"/>
    <col min="13600" max="13600" width="11.7109375" style="5" customWidth="1"/>
    <col min="13601" max="13601" width="13" style="5" customWidth="1"/>
    <col min="13602" max="13607" width="11.7109375" style="5" customWidth="1"/>
    <col min="13608" max="13608" width="13.7109375" style="5" customWidth="1"/>
    <col min="13609" max="13609" width="13.140625" style="5" customWidth="1"/>
    <col min="13610" max="13613" width="13" style="5" customWidth="1"/>
    <col min="13614" max="13620" width="11.7109375" style="5" customWidth="1"/>
    <col min="13621" max="13621" width="10.85546875" style="5" customWidth="1"/>
    <col min="13622" max="13622" width="11.7109375" style="5" customWidth="1"/>
    <col min="13623" max="13625" width="22.7109375" style="5" customWidth="1"/>
    <col min="13626" max="13628" width="20.7109375" style="5" customWidth="1"/>
    <col min="13629" max="13816" width="8.85546875" style="5"/>
    <col min="13817" max="13817" width="6.140625" style="5" customWidth="1"/>
    <col min="13818" max="13818" width="20.28515625" style="5" customWidth="1"/>
    <col min="13819" max="13819" width="12.42578125" style="5" customWidth="1"/>
    <col min="13820" max="13820" width="13" style="5" customWidth="1"/>
    <col min="13821" max="13821" width="12.5703125" style="5" customWidth="1"/>
    <col min="13822" max="13835" width="11.7109375" style="5" customWidth="1"/>
    <col min="13836" max="13836" width="12.28515625" style="5" customWidth="1"/>
    <col min="13837" max="13837" width="11.7109375" style="5" customWidth="1"/>
    <col min="13838" max="13838" width="12.85546875" style="5" customWidth="1"/>
    <col min="13839" max="13839" width="11.7109375" style="5" customWidth="1"/>
    <col min="13840" max="13840" width="12.7109375" style="5" customWidth="1"/>
    <col min="13841" max="13841" width="11.7109375" style="5" customWidth="1"/>
    <col min="13842" max="13842" width="13" style="5" customWidth="1"/>
    <col min="13843" max="13854" width="11.7109375" style="5" customWidth="1"/>
    <col min="13855" max="13855" width="12.5703125" style="5" customWidth="1"/>
    <col min="13856" max="13856" width="11.7109375" style="5" customWidth="1"/>
    <col min="13857" max="13857" width="13" style="5" customWidth="1"/>
    <col min="13858" max="13863" width="11.7109375" style="5" customWidth="1"/>
    <col min="13864" max="13864" width="13.7109375" style="5" customWidth="1"/>
    <col min="13865" max="13865" width="13.140625" style="5" customWidth="1"/>
    <col min="13866" max="13869" width="13" style="5" customWidth="1"/>
    <col min="13870" max="13876" width="11.7109375" style="5" customWidth="1"/>
    <col min="13877" max="13877" width="10.85546875" style="5" customWidth="1"/>
    <col min="13878" max="13878" width="11.7109375" style="5" customWidth="1"/>
    <col min="13879" max="13881" width="22.7109375" style="5" customWidth="1"/>
    <col min="13882" max="13884" width="20.7109375" style="5" customWidth="1"/>
    <col min="13885" max="14072" width="8.85546875" style="5"/>
    <col min="14073" max="14073" width="6.140625" style="5" customWidth="1"/>
    <col min="14074" max="14074" width="20.28515625" style="5" customWidth="1"/>
    <col min="14075" max="14075" width="12.42578125" style="5" customWidth="1"/>
    <col min="14076" max="14076" width="13" style="5" customWidth="1"/>
    <col min="14077" max="14077" width="12.5703125" style="5" customWidth="1"/>
    <col min="14078" max="14091" width="11.7109375" style="5" customWidth="1"/>
    <col min="14092" max="14092" width="12.28515625" style="5" customWidth="1"/>
    <col min="14093" max="14093" width="11.7109375" style="5" customWidth="1"/>
    <col min="14094" max="14094" width="12.85546875" style="5" customWidth="1"/>
    <col min="14095" max="14095" width="11.7109375" style="5" customWidth="1"/>
    <col min="14096" max="14096" width="12.7109375" style="5" customWidth="1"/>
    <col min="14097" max="14097" width="11.7109375" style="5" customWidth="1"/>
    <col min="14098" max="14098" width="13" style="5" customWidth="1"/>
    <col min="14099" max="14110" width="11.7109375" style="5" customWidth="1"/>
    <col min="14111" max="14111" width="12.5703125" style="5" customWidth="1"/>
    <col min="14112" max="14112" width="11.7109375" style="5" customWidth="1"/>
    <col min="14113" max="14113" width="13" style="5" customWidth="1"/>
    <col min="14114" max="14119" width="11.7109375" style="5" customWidth="1"/>
    <col min="14120" max="14120" width="13.7109375" style="5" customWidth="1"/>
    <col min="14121" max="14121" width="13.140625" style="5" customWidth="1"/>
    <col min="14122" max="14125" width="13" style="5" customWidth="1"/>
    <col min="14126" max="14132" width="11.7109375" style="5" customWidth="1"/>
    <col min="14133" max="14133" width="10.85546875" style="5" customWidth="1"/>
    <col min="14134" max="14134" width="11.7109375" style="5" customWidth="1"/>
    <col min="14135" max="14137" width="22.7109375" style="5" customWidth="1"/>
    <col min="14138" max="14140" width="20.7109375" style="5" customWidth="1"/>
    <col min="14141" max="14328" width="8.85546875" style="5"/>
    <col min="14329" max="14329" width="6.140625" style="5" customWidth="1"/>
    <col min="14330" max="14330" width="20.28515625" style="5" customWidth="1"/>
    <col min="14331" max="14331" width="12.42578125" style="5" customWidth="1"/>
    <col min="14332" max="14332" width="13" style="5" customWidth="1"/>
    <col min="14333" max="14333" width="12.5703125" style="5" customWidth="1"/>
    <col min="14334" max="14347" width="11.7109375" style="5" customWidth="1"/>
    <col min="14348" max="14348" width="12.28515625" style="5" customWidth="1"/>
    <col min="14349" max="14349" width="11.7109375" style="5" customWidth="1"/>
    <col min="14350" max="14350" width="12.85546875" style="5" customWidth="1"/>
    <col min="14351" max="14351" width="11.7109375" style="5" customWidth="1"/>
    <col min="14352" max="14352" width="12.7109375" style="5" customWidth="1"/>
    <col min="14353" max="14353" width="11.7109375" style="5" customWidth="1"/>
    <col min="14354" max="14354" width="13" style="5" customWidth="1"/>
    <col min="14355" max="14366" width="11.7109375" style="5" customWidth="1"/>
    <col min="14367" max="14367" width="12.5703125" style="5" customWidth="1"/>
    <col min="14368" max="14368" width="11.7109375" style="5" customWidth="1"/>
    <col min="14369" max="14369" width="13" style="5" customWidth="1"/>
    <col min="14370" max="14375" width="11.7109375" style="5" customWidth="1"/>
    <col min="14376" max="14376" width="13.7109375" style="5" customWidth="1"/>
    <col min="14377" max="14377" width="13.140625" style="5" customWidth="1"/>
    <col min="14378" max="14381" width="13" style="5" customWidth="1"/>
    <col min="14382" max="14388" width="11.7109375" style="5" customWidth="1"/>
    <col min="14389" max="14389" width="10.85546875" style="5" customWidth="1"/>
    <col min="14390" max="14390" width="11.7109375" style="5" customWidth="1"/>
    <col min="14391" max="14393" width="22.7109375" style="5" customWidth="1"/>
    <col min="14394" max="14396" width="20.7109375" style="5" customWidth="1"/>
    <col min="14397" max="14584" width="8.85546875" style="5"/>
    <col min="14585" max="14585" width="6.140625" style="5" customWidth="1"/>
    <col min="14586" max="14586" width="20.28515625" style="5" customWidth="1"/>
    <col min="14587" max="14587" width="12.42578125" style="5" customWidth="1"/>
    <col min="14588" max="14588" width="13" style="5" customWidth="1"/>
    <col min="14589" max="14589" width="12.5703125" style="5" customWidth="1"/>
    <col min="14590" max="14603" width="11.7109375" style="5" customWidth="1"/>
    <col min="14604" max="14604" width="12.28515625" style="5" customWidth="1"/>
    <col min="14605" max="14605" width="11.7109375" style="5" customWidth="1"/>
    <col min="14606" max="14606" width="12.85546875" style="5" customWidth="1"/>
    <col min="14607" max="14607" width="11.7109375" style="5" customWidth="1"/>
    <col min="14608" max="14608" width="12.7109375" style="5" customWidth="1"/>
    <col min="14609" max="14609" width="11.7109375" style="5" customWidth="1"/>
    <col min="14610" max="14610" width="13" style="5" customWidth="1"/>
    <col min="14611" max="14622" width="11.7109375" style="5" customWidth="1"/>
    <col min="14623" max="14623" width="12.5703125" style="5" customWidth="1"/>
    <col min="14624" max="14624" width="11.7109375" style="5" customWidth="1"/>
    <col min="14625" max="14625" width="13" style="5" customWidth="1"/>
    <col min="14626" max="14631" width="11.7109375" style="5" customWidth="1"/>
    <col min="14632" max="14632" width="13.7109375" style="5" customWidth="1"/>
    <col min="14633" max="14633" width="13.140625" style="5" customWidth="1"/>
    <col min="14634" max="14637" width="13" style="5" customWidth="1"/>
    <col min="14638" max="14644" width="11.7109375" style="5" customWidth="1"/>
    <col min="14645" max="14645" width="10.85546875" style="5" customWidth="1"/>
    <col min="14646" max="14646" width="11.7109375" style="5" customWidth="1"/>
    <col min="14647" max="14649" width="22.7109375" style="5" customWidth="1"/>
    <col min="14650" max="14652" width="20.7109375" style="5" customWidth="1"/>
    <col min="14653" max="14840" width="8.85546875" style="5"/>
    <col min="14841" max="14841" width="6.140625" style="5" customWidth="1"/>
    <col min="14842" max="14842" width="20.28515625" style="5" customWidth="1"/>
    <col min="14843" max="14843" width="12.42578125" style="5" customWidth="1"/>
    <col min="14844" max="14844" width="13" style="5" customWidth="1"/>
    <col min="14845" max="14845" width="12.5703125" style="5" customWidth="1"/>
    <col min="14846" max="14859" width="11.7109375" style="5" customWidth="1"/>
    <col min="14860" max="14860" width="12.28515625" style="5" customWidth="1"/>
    <col min="14861" max="14861" width="11.7109375" style="5" customWidth="1"/>
    <col min="14862" max="14862" width="12.85546875" style="5" customWidth="1"/>
    <col min="14863" max="14863" width="11.7109375" style="5" customWidth="1"/>
    <col min="14864" max="14864" width="12.7109375" style="5" customWidth="1"/>
    <col min="14865" max="14865" width="11.7109375" style="5" customWidth="1"/>
    <col min="14866" max="14866" width="13" style="5" customWidth="1"/>
    <col min="14867" max="14878" width="11.7109375" style="5" customWidth="1"/>
    <col min="14879" max="14879" width="12.5703125" style="5" customWidth="1"/>
    <col min="14880" max="14880" width="11.7109375" style="5" customWidth="1"/>
    <col min="14881" max="14881" width="13" style="5" customWidth="1"/>
    <col min="14882" max="14887" width="11.7109375" style="5" customWidth="1"/>
    <col min="14888" max="14888" width="13.7109375" style="5" customWidth="1"/>
    <col min="14889" max="14889" width="13.140625" style="5" customWidth="1"/>
    <col min="14890" max="14893" width="13" style="5" customWidth="1"/>
    <col min="14894" max="14900" width="11.7109375" style="5" customWidth="1"/>
    <col min="14901" max="14901" width="10.85546875" style="5" customWidth="1"/>
    <col min="14902" max="14902" width="11.7109375" style="5" customWidth="1"/>
    <col min="14903" max="14905" width="22.7109375" style="5" customWidth="1"/>
    <col min="14906" max="14908" width="20.7109375" style="5" customWidth="1"/>
    <col min="14909" max="15096" width="8.85546875" style="5"/>
    <col min="15097" max="15097" width="6.140625" style="5" customWidth="1"/>
    <col min="15098" max="15098" width="20.28515625" style="5" customWidth="1"/>
    <col min="15099" max="15099" width="12.42578125" style="5" customWidth="1"/>
    <col min="15100" max="15100" width="13" style="5" customWidth="1"/>
    <col min="15101" max="15101" width="12.5703125" style="5" customWidth="1"/>
    <col min="15102" max="15115" width="11.7109375" style="5" customWidth="1"/>
    <col min="15116" max="15116" width="12.28515625" style="5" customWidth="1"/>
    <col min="15117" max="15117" width="11.7109375" style="5" customWidth="1"/>
    <col min="15118" max="15118" width="12.85546875" style="5" customWidth="1"/>
    <col min="15119" max="15119" width="11.7109375" style="5" customWidth="1"/>
    <col min="15120" max="15120" width="12.7109375" style="5" customWidth="1"/>
    <col min="15121" max="15121" width="11.7109375" style="5" customWidth="1"/>
    <col min="15122" max="15122" width="13" style="5" customWidth="1"/>
    <col min="15123" max="15134" width="11.7109375" style="5" customWidth="1"/>
    <col min="15135" max="15135" width="12.5703125" style="5" customWidth="1"/>
    <col min="15136" max="15136" width="11.7109375" style="5" customWidth="1"/>
    <col min="15137" max="15137" width="13" style="5" customWidth="1"/>
    <col min="15138" max="15143" width="11.7109375" style="5" customWidth="1"/>
    <col min="15144" max="15144" width="13.7109375" style="5" customWidth="1"/>
    <col min="15145" max="15145" width="13.140625" style="5" customWidth="1"/>
    <col min="15146" max="15149" width="13" style="5" customWidth="1"/>
    <col min="15150" max="15156" width="11.7109375" style="5" customWidth="1"/>
    <col min="15157" max="15157" width="10.85546875" style="5" customWidth="1"/>
    <col min="15158" max="15158" width="11.7109375" style="5" customWidth="1"/>
    <col min="15159" max="15161" width="22.7109375" style="5" customWidth="1"/>
    <col min="15162" max="15164" width="20.7109375" style="5" customWidth="1"/>
    <col min="15165" max="15352" width="8.85546875" style="5"/>
    <col min="15353" max="15353" width="6.140625" style="5" customWidth="1"/>
    <col min="15354" max="15354" width="20.28515625" style="5" customWidth="1"/>
    <col min="15355" max="15355" width="12.42578125" style="5" customWidth="1"/>
    <col min="15356" max="15356" width="13" style="5" customWidth="1"/>
    <col min="15357" max="15357" width="12.5703125" style="5" customWidth="1"/>
    <col min="15358" max="15371" width="11.7109375" style="5" customWidth="1"/>
    <col min="15372" max="15372" width="12.28515625" style="5" customWidth="1"/>
    <col min="15373" max="15373" width="11.7109375" style="5" customWidth="1"/>
    <col min="15374" max="15374" width="12.85546875" style="5" customWidth="1"/>
    <col min="15375" max="15375" width="11.7109375" style="5" customWidth="1"/>
    <col min="15376" max="15376" width="12.7109375" style="5" customWidth="1"/>
    <col min="15377" max="15377" width="11.7109375" style="5" customWidth="1"/>
    <col min="15378" max="15378" width="13" style="5" customWidth="1"/>
    <col min="15379" max="15390" width="11.7109375" style="5" customWidth="1"/>
    <col min="15391" max="15391" width="12.5703125" style="5" customWidth="1"/>
    <col min="15392" max="15392" width="11.7109375" style="5" customWidth="1"/>
    <col min="15393" max="15393" width="13" style="5" customWidth="1"/>
    <col min="15394" max="15399" width="11.7109375" style="5" customWidth="1"/>
    <col min="15400" max="15400" width="13.7109375" style="5" customWidth="1"/>
    <col min="15401" max="15401" width="13.140625" style="5" customWidth="1"/>
    <col min="15402" max="15405" width="13" style="5" customWidth="1"/>
    <col min="15406" max="15412" width="11.7109375" style="5" customWidth="1"/>
    <col min="15413" max="15413" width="10.85546875" style="5" customWidth="1"/>
    <col min="15414" max="15414" width="11.7109375" style="5" customWidth="1"/>
    <col min="15415" max="15417" width="22.7109375" style="5" customWidth="1"/>
    <col min="15418" max="15420" width="20.7109375" style="5" customWidth="1"/>
    <col min="15421" max="15608" width="8.85546875" style="5"/>
    <col min="15609" max="15609" width="6.140625" style="5" customWidth="1"/>
    <col min="15610" max="15610" width="20.28515625" style="5" customWidth="1"/>
    <col min="15611" max="15611" width="12.42578125" style="5" customWidth="1"/>
    <col min="15612" max="15612" width="13" style="5" customWidth="1"/>
    <col min="15613" max="15613" width="12.5703125" style="5" customWidth="1"/>
    <col min="15614" max="15627" width="11.7109375" style="5" customWidth="1"/>
    <col min="15628" max="15628" width="12.28515625" style="5" customWidth="1"/>
    <col min="15629" max="15629" width="11.7109375" style="5" customWidth="1"/>
    <col min="15630" max="15630" width="12.85546875" style="5" customWidth="1"/>
    <col min="15631" max="15631" width="11.7109375" style="5" customWidth="1"/>
    <col min="15632" max="15632" width="12.7109375" style="5" customWidth="1"/>
    <col min="15633" max="15633" width="11.7109375" style="5" customWidth="1"/>
    <col min="15634" max="15634" width="13" style="5" customWidth="1"/>
    <col min="15635" max="15646" width="11.7109375" style="5" customWidth="1"/>
    <col min="15647" max="15647" width="12.5703125" style="5" customWidth="1"/>
    <col min="15648" max="15648" width="11.7109375" style="5" customWidth="1"/>
    <col min="15649" max="15649" width="13" style="5" customWidth="1"/>
    <col min="15650" max="15655" width="11.7109375" style="5" customWidth="1"/>
    <col min="15656" max="15656" width="13.7109375" style="5" customWidth="1"/>
    <col min="15657" max="15657" width="13.140625" style="5" customWidth="1"/>
    <col min="15658" max="15661" width="13" style="5" customWidth="1"/>
    <col min="15662" max="15668" width="11.7109375" style="5" customWidth="1"/>
    <col min="15669" max="15669" width="10.85546875" style="5" customWidth="1"/>
    <col min="15670" max="15670" width="11.7109375" style="5" customWidth="1"/>
    <col min="15671" max="15673" width="22.7109375" style="5" customWidth="1"/>
    <col min="15674" max="15676" width="20.7109375" style="5" customWidth="1"/>
    <col min="15677" max="15864" width="8.85546875" style="5"/>
    <col min="15865" max="15865" width="6.140625" style="5" customWidth="1"/>
    <col min="15866" max="15866" width="20.28515625" style="5" customWidth="1"/>
    <col min="15867" max="15867" width="12.42578125" style="5" customWidth="1"/>
    <col min="15868" max="15868" width="13" style="5" customWidth="1"/>
    <col min="15869" max="15869" width="12.5703125" style="5" customWidth="1"/>
    <col min="15870" max="15883" width="11.7109375" style="5" customWidth="1"/>
    <col min="15884" max="15884" width="12.28515625" style="5" customWidth="1"/>
    <col min="15885" max="15885" width="11.7109375" style="5" customWidth="1"/>
    <col min="15886" max="15886" width="12.85546875" style="5" customWidth="1"/>
    <col min="15887" max="15887" width="11.7109375" style="5" customWidth="1"/>
    <col min="15888" max="15888" width="12.7109375" style="5" customWidth="1"/>
    <col min="15889" max="15889" width="11.7109375" style="5" customWidth="1"/>
    <col min="15890" max="15890" width="13" style="5" customWidth="1"/>
    <col min="15891" max="15902" width="11.7109375" style="5" customWidth="1"/>
    <col min="15903" max="15903" width="12.5703125" style="5" customWidth="1"/>
    <col min="15904" max="15904" width="11.7109375" style="5" customWidth="1"/>
    <col min="15905" max="15905" width="13" style="5" customWidth="1"/>
    <col min="15906" max="15911" width="11.7109375" style="5" customWidth="1"/>
    <col min="15912" max="15912" width="13.7109375" style="5" customWidth="1"/>
    <col min="15913" max="15913" width="13.140625" style="5" customWidth="1"/>
    <col min="15914" max="15917" width="13" style="5" customWidth="1"/>
    <col min="15918" max="15924" width="11.7109375" style="5" customWidth="1"/>
    <col min="15925" max="15925" width="10.85546875" style="5" customWidth="1"/>
    <col min="15926" max="15926" width="11.7109375" style="5" customWidth="1"/>
    <col min="15927" max="15929" width="22.7109375" style="5" customWidth="1"/>
    <col min="15930" max="15932" width="20.7109375" style="5" customWidth="1"/>
    <col min="15933" max="16120" width="8.85546875" style="5"/>
    <col min="16121" max="16121" width="6.140625" style="5" customWidth="1"/>
    <col min="16122" max="16122" width="20.28515625" style="5" customWidth="1"/>
    <col min="16123" max="16123" width="12.42578125" style="5" customWidth="1"/>
    <col min="16124" max="16124" width="13" style="5" customWidth="1"/>
    <col min="16125" max="16125" width="12.5703125" style="5" customWidth="1"/>
    <col min="16126" max="16139" width="11.7109375" style="5" customWidth="1"/>
    <col min="16140" max="16140" width="12.28515625" style="5" customWidth="1"/>
    <col min="16141" max="16141" width="11.7109375" style="5" customWidth="1"/>
    <col min="16142" max="16142" width="12.85546875" style="5" customWidth="1"/>
    <col min="16143" max="16143" width="11.7109375" style="5" customWidth="1"/>
    <col min="16144" max="16144" width="12.7109375" style="5" customWidth="1"/>
    <col min="16145" max="16145" width="11.7109375" style="5" customWidth="1"/>
    <col min="16146" max="16146" width="13" style="5" customWidth="1"/>
    <col min="16147" max="16158" width="11.7109375" style="5" customWidth="1"/>
    <col min="16159" max="16159" width="12.5703125" style="5" customWidth="1"/>
    <col min="16160" max="16160" width="11.7109375" style="5" customWidth="1"/>
    <col min="16161" max="16161" width="13" style="5" customWidth="1"/>
    <col min="16162" max="16167" width="11.7109375" style="5" customWidth="1"/>
    <col min="16168" max="16168" width="13.7109375" style="5" customWidth="1"/>
    <col min="16169" max="16169" width="13.140625" style="5" customWidth="1"/>
    <col min="16170" max="16173" width="13" style="5" customWidth="1"/>
    <col min="16174" max="16180" width="11.7109375" style="5" customWidth="1"/>
    <col min="16181" max="16181" width="10.85546875" style="5" customWidth="1"/>
    <col min="16182" max="16182" width="11.7109375" style="5" customWidth="1"/>
    <col min="16183" max="16185" width="22.7109375" style="5" customWidth="1"/>
    <col min="16186" max="16188" width="20.7109375" style="5" customWidth="1"/>
    <col min="16189" max="16384" width="8.85546875" style="5"/>
  </cols>
  <sheetData>
    <row r="1" spans="1:65" s="31" customFormat="1" ht="24.75" customHeight="1">
      <c r="A1" s="29"/>
      <c r="B1" s="30"/>
      <c r="C1" s="23" t="s">
        <v>133</v>
      </c>
      <c r="D1" s="23"/>
      <c r="E1" s="23"/>
      <c r="F1" s="23"/>
      <c r="G1" s="23"/>
      <c r="H1" s="23"/>
      <c r="I1" s="23" t="str">
        <f>C1</f>
        <v>Table B3: ENROLMENT IN SCHOOL EDUCATION</v>
      </c>
      <c r="J1" s="23"/>
      <c r="K1" s="23"/>
      <c r="L1" s="23"/>
      <c r="M1" s="23"/>
      <c r="N1" s="23"/>
      <c r="O1" s="23" t="str">
        <f>I1</f>
        <v>Table B3: ENROLMENT IN SCHOOL EDUCATION</v>
      </c>
      <c r="P1" s="23"/>
      <c r="Q1" s="23"/>
      <c r="R1" s="23"/>
      <c r="S1" s="23"/>
      <c r="T1" s="23"/>
      <c r="U1" s="23" t="str">
        <f>O1</f>
        <v>Table B3: ENROLMENT IN SCHOOL EDUCATION</v>
      </c>
      <c r="V1" s="23"/>
      <c r="W1" s="23"/>
      <c r="X1" s="23"/>
      <c r="Y1" s="23"/>
      <c r="Z1" s="23"/>
      <c r="AA1" s="23" t="str">
        <f>U1</f>
        <v>Table B3: ENROLMENT IN SCHOOL EDUCATION</v>
      </c>
      <c r="AB1" s="23"/>
      <c r="AC1" s="23"/>
      <c r="AD1" s="23"/>
      <c r="AE1" s="23"/>
      <c r="AF1" s="23"/>
      <c r="AG1" s="23" t="str">
        <f>AA1</f>
        <v>Table B3: ENROLMENT IN SCHOOL EDUCATION</v>
      </c>
      <c r="AH1" s="23"/>
      <c r="AI1" s="23"/>
      <c r="AJ1" s="23"/>
      <c r="AK1" s="23"/>
      <c r="AL1" s="23"/>
      <c r="AM1" s="23" t="str">
        <f>AG1</f>
        <v>Table B3: ENROLMENT IN SCHOOL EDUCATION</v>
      </c>
      <c r="AN1" s="23"/>
      <c r="AO1" s="23"/>
      <c r="AP1" s="23"/>
      <c r="AQ1" s="23"/>
      <c r="AR1" s="23"/>
      <c r="AS1" s="23" t="str">
        <f>AM1</f>
        <v>Table B3: ENROLMENT IN SCHOOL EDUCATION</v>
      </c>
      <c r="AT1" s="23"/>
      <c r="AU1" s="23"/>
      <c r="AV1" s="23"/>
      <c r="AW1" s="23"/>
      <c r="AX1" s="23"/>
      <c r="AY1" s="23" t="str">
        <f>AS1</f>
        <v>Table B3: ENROLMENT IN SCHOOL EDUCATION</v>
      </c>
      <c r="AZ1" s="23"/>
      <c r="BA1" s="23"/>
      <c r="BB1" s="23"/>
      <c r="BC1" s="23"/>
      <c r="BD1" s="23"/>
      <c r="BE1" s="23" t="str">
        <f>AY1</f>
        <v>Table B3: ENROLMENT IN SCHOOL EDUCATION</v>
      </c>
      <c r="BF1" s="23"/>
      <c r="BG1" s="23"/>
      <c r="BH1" s="23"/>
      <c r="BI1" s="23"/>
      <c r="BJ1" s="23"/>
      <c r="BK1" s="23"/>
      <c r="BL1" s="23"/>
      <c r="BM1" s="23"/>
    </row>
    <row r="2" spans="1:65" s="137" customFormat="1" ht="15.75" customHeight="1">
      <c r="C2" s="139" t="s">
        <v>80</v>
      </c>
      <c r="I2" s="139" t="str">
        <f>C2</f>
        <v>Scheduled Tribe</v>
      </c>
      <c r="O2" s="139" t="str">
        <f>I2</f>
        <v>Scheduled Tribe</v>
      </c>
      <c r="U2" s="139" t="str">
        <f>O2</f>
        <v>Scheduled Tribe</v>
      </c>
      <c r="AA2" s="139" t="str">
        <f>U2</f>
        <v>Scheduled Tribe</v>
      </c>
      <c r="AG2" s="139" t="str">
        <f>AA2</f>
        <v>Scheduled Tribe</v>
      </c>
      <c r="AH2" s="139"/>
      <c r="AI2" s="139"/>
      <c r="AJ2" s="139"/>
      <c r="AK2" s="139"/>
      <c r="AL2" s="139"/>
      <c r="AM2" s="139" t="str">
        <f>AG2</f>
        <v>Scheduled Tribe</v>
      </c>
      <c r="AN2" s="139"/>
      <c r="AO2" s="139"/>
      <c r="AP2" s="139"/>
      <c r="AQ2" s="139"/>
      <c r="AR2" s="139"/>
      <c r="AS2" s="139" t="str">
        <f>AM2</f>
        <v>Scheduled Tribe</v>
      </c>
      <c r="AT2" s="139"/>
      <c r="AU2" s="139"/>
      <c r="AV2" s="139"/>
      <c r="AW2" s="139"/>
      <c r="AX2" s="139"/>
      <c r="AY2" s="139" t="str">
        <f>AS2</f>
        <v>Scheduled Tribe</v>
      </c>
      <c r="AZ2" s="139"/>
      <c r="BA2" s="139"/>
      <c r="BB2" s="139"/>
      <c r="BC2" s="139"/>
      <c r="BD2" s="139"/>
      <c r="BE2" s="139" t="str">
        <f>AY2</f>
        <v>Scheduled Tribe</v>
      </c>
      <c r="BF2" s="139"/>
      <c r="BG2" s="139"/>
      <c r="BH2" s="139"/>
      <c r="BI2" s="139"/>
      <c r="BJ2" s="139"/>
    </row>
    <row r="3" spans="1:65" s="11" customFormat="1" ht="32.25" customHeight="1">
      <c r="A3" s="283" t="s">
        <v>67</v>
      </c>
      <c r="B3" s="283" t="s">
        <v>65</v>
      </c>
      <c r="C3" s="285" t="s">
        <v>0</v>
      </c>
      <c r="D3" s="285"/>
      <c r="E3" s="285"/>
      <c r="F3" s="285" t="s">
        <v>1</v>
      </c>
      <c r="G3" s="285"/>
      <c r="H3" s="285"/>
      <c r="I3" s="285" t="s">
        <v>2</v>
      </c>
      <c r="J3" s="285"/>
      <c r="K3" s="285"/>
      <c r="L3" s="285" t="s">
        <v>3</v>
      </c>
      <c r="M3" s="285"/>
      <c r="N3" s="285"/>
      <c r="O3" s="285" t="s">
        <v>4</v>
      </c>
      <c r="P3" s="285"/>
      <c r="Q3" s="285"/>
      <c r="R3" s="285" t="s">
        <v>5</v>
      </c>
      <c r="S3" s="285"/>
      <c r="T3" s="285"/>
      <c r="U3" s="283" t="s">
        <v>82</v>
      </c>
      <c r="V3" s="285"/>
      <c r="W3" s="285"/>
      <c r="X3" s="285" t="s">
        <v>6</v>
      </c>
      <c r="Y3" s="285"/>
      <c r="Z3" s="285"/>
      <c r="AA3" s="285" t="s">
        <v>7</v>
      </c>
      <c r="AB3" s="285"/>
      <c r="AC3" s="285"/>
      <c r="AD3" s="285" t="s">
        <v>8</v>
      </c>
      <c r="AE3" s="285"/>
      <c r="AF3" s="285"/>
      <c r="AG3" s="283" t="s">
        <v>83</v>
      </c>
      <c r="AH3" s="285"/>
      <c r="AI3" s="285"/>
      <c r="AJ3" s="283" t="s">
        <v>84</v>
      </c>
      <c r="AK3" s="285"/>
      <c r="AL3" s="285"/>
      <c r="AM3" s="285" t="s">
        <v>9</v>
      </c>
      <c r="AN3" s="285"/>
      <c r="AO3" s="285"/>
      <c r="AP3" s="285" t="s">
        <v>10</v>
      </c>
      <c r="AQ3" s="285"/>
      <c r="AR3" s="285"/>
      <c r="AS3" s="283" t="s">
        <v>85</v>
      </c>
      <c r="AT3" s="285"/>
      <c r="AU3" s="285"/>
      <c r="AV3" s="283" t="s">
        <v>86</v>
      </c>
      <c r="AW3" s="285"/>
      <c r="AX3" s="285"/>
      <c r="AY3" s="285" t="s">
        <v>11</v>
      </c>
      <c r="AZ3" s="285"/>
      <c r="BA3" s="285"/>
      <c r="BB3" s="285" t="s">
        <v>12</v>
      </c>
      <c r="BC3" s="285"/>
      <c r="BD3" s="285"/>
      <c r="BE3" s="283" t="s">
        <v>87</v>
      </c>
      <c r="BF3" s="283"/>
      <c r="BG3" s="283"/>
      <c r="BH3" s="283" t="s">
        <v>88</v>
      </c>
      <c r="BI3" s="283"/>
      <c r="BJ3" s="283"/>
      <c r="BK3" s="283" t="str">
        <f>EnrlSC!BK3</f>
        <v xml:space="preserve">Grand Total 
Pre-Primary to XII
 Pre-Primary to Class XII </v>
      </c>
      <c r="BL3" s="283"/>
      <c r="BM3" s="283"/>
    </row>
    <row r="4" spans="1:65" s="11" customFormat="1" ht="20.25" customHeight="1">
      <c r="A4" s="283"/>
      <c r="B4" s="283"/>
      <c r="C4" s="248" t="s">
        <v>13</v>
      </c>
      <c r="D4" s="248" t="s">
        <v>14</v>
      </c>
      <c r="E4" s="248" t="s">
        <v>15</v>
      </c>
      <c r="F4" s="248" t="s">
        <v>13</v>
      </c>
      <c r="G4" s="248" t="s">
        <v>14</v>
      </c>
      <c r="H4" s="248" t="s">
        <v>15</v>
      </c>
      <c r="I4" s="248" t="s">
        <v>13</v>
      </c>
      <c r="J4" s="248" t="s">
        <v>14</v>
      </c>
      <c r="K4" s="248" t="s">
        <v>15</v>
      </c>
      <c r="L4" s="248" t="s">
        <v>13</v>
      </c>
      <c r="M4" s="248" t="s">
        <v>14</v>
      </c>
      <c r="N4" s="248" t="s">
        <v>15</v>
      </c>
      <c r="O4" s="248" t="s">
        <v>13</v>
      </c>
      <c r="P4" s="248" t="s">
        <v>14</v>
      </c>
      <c r="Q4" s="248" t="s">
        <v>15</v>
      </c>
      <c r="R4" s="248" t="s">
        <v>13</v>
      </c>
      <c r="S4" s="248" t="s">
        <v>14</v>
      </c>
      <c r="T4" s="248" t="s">
        <v>15</v>
      </c>
      <c r="U4" s="248" t="s">
        <v>13</v>
      </c>
      <c r="V4" s="248" t="s">
        <v>14</v>
      </c>
      <c r="W4" s="248" t="s">
        <v>15</v>
      </c>
      <c r="X4" s="248" t="s">
        <v>13</v>
      </c>
      <c r="Y4" s="248" t="s">
        <v>14</v>
      </c>
      <c r="Z4" s="248" t="s">
        <v>15</v>
      </c>
      <c r="AA4" s="248" t="s">
        <v>13</v>
      </c>
      <c r="AB4" s="248" t="s">
        <v>14</v>
      </c>
      <c r="AC4" s="248" t="s">
        <v>15</v>
      </c>
      <c r="AD4" s="248" t="s">
        <v>13</v>
      </c>
      <c r="AE4" s="248" t="s">
        <v>14</v>
      </c>
      <c r="AF4" s="248" t="s">
        <v>15</v>
      </c>
      <c r="AG4" s="248" t="s">
        <v>13</v>
      </c>
      <c r="AH4" s="248" t="s">
        <v>14</v>
      </c>
      <c r="AI4" s="248" t="s">
        <v>15</v>
      </c>
      <c r="AJ4" s="248" t="s">
        <v>13</v>
      </c>
      <c r="AK4" s="248" t="s">
        <v>14</v>
      </c>
      <c r="AL4" s="248" t="s">
        <v>15</v>
      </c>
      <c r="AM4" s="248" t="s">
        <v>13</v>
      </c>
      <c r="AN4" s="248" t="s">
        <v>14</v>
      </c>
      <c r="AO4" s="248" t="s">
        <v>15</v>
      </c>
      <c r="AP4" s="248" t="s">
        <v>13</v>
      </c>
      <c r="AQ4" s="248" t="s">
        <v>14</v>
      </c>
      <c r="AR4" s="248" t="s">
        <v>15</v>
      </c>
      <c r="AS4" s="248" t="s">
        <v>13</v>
      </c>
      <c r="AT4" s="248" t="s">
        <v>14</v>
      </c>
      <c r="AU4" s="248" t="s">
        <v>15</v>
      </c>
      <c r="AV4" s="248" t="s">
        <v>13</v>
      </c>
      <c r="AW4" s="248" t="s">
        <v>14</v>
      </c>
      <c r="AX4" s="248" t="s">
        <v>15</v>
      </c>
      <c r="AY4" s="248" t="s">
        <v>13</v>
      </c>
      <c r="AZ4" s="248" t="s">
        <v>14</v>
      </c>
      <c r="BA4" s="248" t="s">
        <v>15</v>
      </c>
      <c r="BB4" s="248" t="s">
        <v>13</v>
      </c>
      <c r="BC4" s="248" t="s">
        <v>14</v>
      </c>
      <c r="BD4" s="248" t="s">
        <v>15</v>
      </c>
      <c r="BE4" s="248" t="s">
        <v>13</v>
      </c>
      <c r="BF4" s="248" t="s">
        <v>14</v>
      </c>
      <c r="BG4" s="248" t="s">
        <v>15</v>
      </c>
      <c r="BH4" s="248" t="s">
        <v>13</v>
      </c>
      <c r="BI4" s="248" t="s">
        <v>14</v>
      </c>
      <c r="BJ4" s="248" t="s">
        <v>15</v>
      </c>
      <c r="BK4" s="248" t="s">
        <v>13</v>
      </c>
      <c r="BL4" s="248" t="s">
        <v>14</v>
      </c>
      <c r="BM4" s="248" t="s">
        <v>15</v>
      </c>
    </row>
    <row r="5" spans="1:65" s="250" customFormat="1" ht="13.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  <c r="AD5" s="22">
        <v>30</v>
      </c>
      <c r="AE5" s="22">
        <v>31</v>
      </c>
      <c r="AF5" s="22">
        <v>32</v>
      </c>
      <c r="AG5" s="22">
        <v>33</v>
      </c>
      <c r="AH5" s="22">
        <v>34</v>
      </c>
      <c r="AI5" s="22">
        <v>35</v>
      </c>
      <c r="AJ5" s="22">
        <v>36</v>
      </c>
      <c r="AK5" s="22">
        <v>37</v>
      </c>
      <c r="AL5" s="22">
        <v>38</v>
      </c>
      <c r="AM5" s="22">
        <v>39</v>
      </c>
      <c r="AN5" s="22">
        <v>40</v>
      </c>
      <c r="AO5" s="22">
        <v>41</v>
      </c>
      <c r="AP5" s="22">
        <v>42</v>
      </c>
      <c r="AQ5" s="22">
        <v>43</v>
      </c>
      <c r="AR5" s="22">
        <v>44</v>
      </c>
      <c r="AS5" s="22">
        <v>45</v>
      </c>
      <c r="AT5" s="22">
        <v>46</v>
      </c>
      <c r="AU5" s="22">
        <v>47</v>
      </c>
      <c r="AV5" s="22">
        <v>48</v>
      </c>
      <c r="AW5" s="22">
        <v>49</v>
      </c>
      <c r="AX5" s="22">
        <v>50</v>
      </c>
      <c r="AY5" s="22">
        <v>51</v>
      </c>
      <c r="AZ5" s="22">
        <v>52</v>
      </c>
      <c r="BA5" s="22">
        <v>53</v>
      </c>
      <c r="BB5" s="22">
        <v>54</v>
      </c>
      <c r="BC5" s="22">
        <v>55</v>
      </c>
      <c r="BD5" s="22">
        <v>56</v>
      </c>
      <c r="BE5" s="22">
        <v>57</v>
      </c>
      <c r="BF5" s="22">
        <v>58</v>
      </c>
      <c r="BG5" s="22">
        <v>59</v>
      </c>
      <c r="BH5" s="22">
        <v>60</v>
      </c>
      <c r="BI5" s="22">
        <v>61</v>
      </c>
      <c r="BJ5" s="22">
        <v>62</v>
      </c>
      <c r="BK5" s="136"/>
      <c r="BL5" s="136"/>
      <c r="BM5" s="136"/>
    </row>
    <row r="6" spans="1:65" ht="18.75" customHeight="1">
      <c r="A6" s="25">
        <v>1</v>
      </c>
      <c r="B6" s="26" t="s">
        <v>16</v>
      </c>
      <c r="C6" s="27">
        <v>14694</v>
      </c>
      <c r="D6" s="27">
        <v>10074</v>
      </c>
      <c r="E6" s="27">
        <f t="shared" ref="E6:E40" si="0">C6+D6</f>
        <v>24768</v>
      </c>
      <c r="F6" s="27">
        <v>97045</v>
      </c>
      <c r="G6" s="27">
        <v>93489</v>
      </c>
      <c r="H6" s="27">
        <f t="shared" ref="H6:H40" si="1">F6+G6</f>
        <v>190534</v>
      </c>
      <c r="I6" s="27">
        <v>82294</v>
      </c>
      <c r="J6" s="27">
        <v>79266</v>
      </c>
      <c r="K6" s="27">
        <f t="shared" ref="K6:K40" si="2">I6+J6</f>
        <v>161560</v>
      </c>
      <c r="L6" s="27">
        <v>80475</v>
      </c>
      <c r="M6" s="27">
        <v>76192</v>
      </c>
      <c r="N6" s="27">
        <f t="shared" ref="N6:N40" si="3">L6+M6</f>
        <v>156667</v>
      </c>
      <c r="O6" s="27">
        <v>71435</v>
      </c>
      <c r="P6" s="27">
        <v>66230</v>
      </c>
      <c r="Q6" s="27">
        <f t="shared" ref="Q6:Q40" si="4">O6+P6</f>
        <v>137665</v>
      </c>
      <c r="R6" s="27">
        <v>68390</v>
      </c>
      <c r="S6" s="27">
        <v>61775</v>
      </c>
      <c r="T6" s="27">
        <f t="shared" ref="T6:T40" si="5">R6+S6</f>
        <v>130165</v>
      </c>
      <c r="U6" s="27">
        <f>F6+I6+L6+O6+R6</f>
        <v>399639</v>
      </c>
      <c r="V6" s="27">
        <f>G6+J6+M6+P6+S6</f>
        <v>376952</v>
      </c>
      <c r="W6" s="27">
        <f>U6+V6</f>
        <v>776591</v>
      </c>
      <c r="X6" s="27">
        <v>57174</v>
      </c>
      <c r="Y6" s="27">
        <v>53487</v>
      </c>
      <c r="Z6" s="27">
        <f t="shared" ref="Z6:Z40" si="6">X6+Y6</f>
        <v>110661</v>
      </c>
      <c r="AA6" s="27">
        <v>53216</v>
      </c>
      <c r="AB6" s="27">
        <v>47776</v>
      </c>
      <c r="AC6" s="27">
        <f t="shared" ref="AC6:AC40" si="7">AA6+AB6</f>
        <v>100992</v>
      </c>
      <c r="AD6" s="27">
        <v>44935</v>
      </c>
      <c r="AE6" s="27">
        <v>39366</v>
      </c>
      <c r="AF6" s="27">
        <f t="shared" ref="AF6:AF40" si="8">AD6+AE6</f>
        <v>84301</v>
      </c>
      <c r="AG6" s="27">
        <f>X6+AA6+AD6</f>
        <v>155325</v>
      </c>
      <c r="AH6" s="27">
        <f>Y6+AB6+AE6</f>
        <v>140629</v>
      </c>
      <c r="AI6" s="27">
        <f>AG6+AH6</f>
        <v>295954</v>
      </c>
      <c r="AJ6" s="27">
        <f>U6+AG6</f>
        <v>554964</v>
      </c>
      <c r="AK6" s="27">
        <f>V6+AH6</f>
        <v>517581</v>
      </c>
      <c r="AL6" s="27">
        <f>AJ6+AK6</f>
        <v>1072545</v>
      </c>
      <c r="AM6" s="27">
        <v>41075</v>
      </c>
      <c r="AN6" s="27">
        <v>36232</v>
      </c>
      <c r="AO6" s="27">
        <f t="shared" ref="AO6:AO40" si="9">AM6+AN6</f>
        <v>77307</v>
      </c>
      <c r="AP6" s="27">
        <v>37888</v>
      </c>
      <c r="AQ6" s="27">
        <v>33464</v>
      </c>
      <c r="AR6" s="27">
        <f t="shared" ref="AR6:AR40" si="10">AP6+AQ6</f>
        <v>71352</v>
      </c>
      <c r="AS6" s="27">
        <f t="shared" ref="AS6:AT40" si="11">AM6+AP6</f>
        <v>78963</v>
      </c>
      <c r="AT6" s="27">
        <f>AN6+AQ6</f>
        <v>69696</v>
      </c>
      <c r="AU6" s="27">
        <f>AS6+AT6</f>
        <v>148659</v>
      </c>
      <c r="AV6" s="27">
        <f>U6+AG6+AS6</f>
        <v>633927</v>
      </c>
      <c r="AW6" s="27">
        <f>V6+AH6+AT6</f>
        <v>587277</v>
      </c>
      <c r="AX6" s="27">
        <f>AV6+AW6</f>
        <v>1221204</v>
      </c>
      <c r="AY6" s="27">
        <f>242+32783</f>
        <v>33025</v>
      </c>
      <c r="AZ6" s="27">
        <f>303+23016</f>
        <v>23319</v>
      </c>
      <c r="BA6" s="27">
        <f>AY6+AZ6</f>
        <v>56344</v>
      </c>
      <c r="BB6" s="27">
        <f>175+24890</f>
        <v>25065</v>
      </c>
      <c r="BC6" s="27">
        <f>265+17894</f>
        <v>18159</v>
      </c>
      <c r="BD6" s="27">
        <f t="shared" ref="BD6:BD40" si="12">BB6+BC6</f>
        <v>43224</v>
      </c>
      <c r="BE6" s="27">
        <f>AY6+BB6</f>
        <v>58090</v>
      </c>
      <c r="BF6" s="27">
        <f>AZ6+BC6</f>
        <v>41478</v>
      </c>
      <c r="BG6" s="27">
        <f>BE6+BF6</f>
        <v>99568</v>
      </c>
      <c r="BH6" s="27">
        <f t="shared" ref="BH6:BI40" si="13">U6+AG6+AS6+BE6</f>
        <v>692017</v>
      </c>
      <c r="BI6" s="27">
        <f t="shared" si="13"/>
        <v>628755</v>
      </c>
      <c r="BJ6" s="27">
        <f>BH6+BI6</f>
        <v>1320772</v>
      </c>
      <c r="BK6" s="27">
        <f>C6+BH6</f>
        <v>706711</v>
      </c>
      <c r="BL6" s="27">
        <f>D6+BI6</f>
        <v>638829</v>
      </c>
      <c r="BM6" s="27">
        <f>BK6+BL6</f>
        <v>1345540</v>
      </c>
    </row>
    <row r="7" spans="1:65" ht="18.75" customHeight="1">
      <c r="A7" s="25">
        <v>2</v>
      </c>
      <c r="B7" s="26" t="s">
        <v>17</v>
      </c>
      <c r="C7" s="27">
        <v>12934</v>
      </c>
      <c r="D7" s="27">
        <v>11142</v>
      </c>
      <c r="E7" s="27">
        <f t="shared" si="0"/>
        <v>24076</v>
      </c>
      <c r="F7" s="27">
        <v>25859</v>
      </c>
      <c r="G7" s="27">
        <v>24577</v>
      </c>
      <c r="H7" s="27">
        <f t="shared" si="1"/>
        <v>50436</v>
      </c>
      <c r="I7" s="27">
        <v>20105</v>
      </c>
      <c r="J7" s="27">
        <v>19346</v>
      </c>
      <c r="K7" s="27">
        <f t="shared" si="2"/>
        <v>39451</v>
      </c>
      <c r="L7" s="27">
        <v>17160</v>
      </c>
      <c r="M7" s="27">
        <v>16342</v>
      </c>
      <c r="N7" s="27">
        <f t="shared" si="3"/>
        <v>33502</v>
      </c>
      <c r="O7" s="27">
        <v>14895</v>
      </c>
      <c r="P7" s="27">
        <v>14391</v>
      </c>
      <c r="Q7" s="27">
        <f t="shared" si="4"/>
        <v>29286</v>
      </c>
      <c r="R7" s="27">
        <v>13899</v>
      </c>
      <c r="S7" s="27">
        <v>13167</v>
      </c>
      <c r="T7" s="27">
        <f t="shared" si="5"/>
        <v>27066</v>
      </c>
      <c r="U7" s="27">
        <f t="shared" ref="U7:V40" si="14">F7+I7+L7+O7+R7</f>
        <v>91918</v>
      </c>
      <c r="V7" s="27">
        <f t="shared" si="14"/>
        <v>87823</v>
      </c>
      <c r="W7" s="27">
        <f t="shared" ref="W7:W40" si="15">U7+V7</f>
        <v>179741</v>
      </c>
      <c r="X7" s="27">
        <v>12280</v>
      </c>
      <c r="Y7" s="27">
        <v>11908</v>
      </c>
      <c r="Z7" s="27">
        <f t="shared" si="6"/>
        <v>24188</v>
      </c>
      <c r="AA7" s="27">
        <v>11099</v>
      </c>
      <c r="AB7" s="27">
        <v>10784</v>
      </c>
      <c r="AC7" s="27">
        <f t="shared" si="7"/>
        <v>21883</v>
      </c>
      <c r="AD7" s="27">
        <v>9864</v>
      </c>
      <c r="AE7" s="27">
        <v>9575</v>
      </c>
      <c r="AF7" s="27">
        <f t="shared" si="8"/>
        <v>19439</v>
      </c>
      <c r="AG7" s="27">
        <f t="shared" ref="AG7:AH40" si="16">X7+AA7+AD7</f>
        <v>33243</v>
      </c>
      <c r="AH7" s="27">
        <f t="shared" si="16"/>
        <v>32267</v>
      </c>
      <c r="AI7" s="27">
        <f t="shared" ref="AI7:AI40" si="17">AG7+AH7</f>
        <v>65510</v>
      </c>
      <c r="AJ7" s="27">
        <f t="shared" ref="AJ7:AK40" si="18">U7+AG7</f>
        <v>125161</v>
      </c>
      <c r="AK7" s="27">
        <f t="shared" si="18"/>
        <v>120090</v>
      </c>
      <c r="AL7" s="27">
        <f t="shared" ref="AL7:AL40" si="19">AJ7+AK7</f>
        <v>245251</v>
      </c>
      <c r="AM7" s="27">
        <v>8245</v>
      </c>
      <c r="AN7" s="27">
        <v>7673</v>
      </c>
      <c r="AO7" s="27">
        <f t="shared" si="9"/>
        <v>15918</v>
      </c>
      <c r="AP7" s="27">
        <v>6708</v>
      </c>
      <c r="AQ7" s="27">
        <v>6368</v>
      </c>
      <c r="AR7" s="27">
        <f t="shared" si="10"/>
        <v>13076</v>
      </c>
      <c r="AS7" s="27">
        <f t="shared" si="11"/>
        <v>14953</v>
      </c>
      <c r="AT7" s="27">
        <f t="shared" si="11"/>
        <v>14041</v>
      </c>
      <c r="AU7" s="27">
        <f t="shared" ref="AU7:AU40" si="20">AS7+AT7</f>
        <v>28994</v>
      </c>
      <c r="AV7" s="27">
        <f t="shared" ref="AV7:AW40" si="21">U7+AG7+AS7</f>
        <v>140114</v>
      </c>
      <c r="AW7" s="27">
        <f t="shared" si="21"/>
        <v>134131</v>
      </c>
      <c r="AX7" s="27">
        <f t="shared" ref="AX7:AX40" si="22">AV7+AW7</f>
        <v>274245</v>
      </c>
      <c r="AY7" s="27">
        <v>5917</v>
      </c>
      <c r="AZ7" s="27">
        <v>5464</v>
      </c>
      <c r="BA7" s="27">
        <f>AY7+AZ7</f>
        <v>11381</v>
      </c>
      <c r="BB7" s="27">
        <v>5039</v>
      </c>
      <c r="BC7" s="27">
        <v>4291</v>
      </c>
      <c r="BD7" s="27">
        <f t="shared" si="12"/>
        <v>9330</v>
      </c>
      <c r="BE7" s="27">
        <f>AY7+BB7</f>
        <v>10956</v>
      </c>
      <c r="BF7" s="27">
        <f>AZ7+BC7</f>
        <v>9755</v>
      </c>
      <c r="BG7" s="27">
        <f>BE7+BF7</f>
        <v>20711</v>
      </c>
      <c r="BH7" s="27">
        <f t="shared" si="13"/>
        <v>151070</v>
      </c>
      <c r="BI7" s="27">
        <f t="shared" si="13"/>
        <v>143886</v>
      </c>
      <c r="BJ7" s="27">
        <f t="shared" ref="BJ7:BJ40" si="23">BH7+BI7</f>
        <v>294956</v>
      </c>
      <c r="BK7" s="27">
        <f t="shared" ref="BK7:BL40" si="24">C7+BH7</f>
        <v>164004</v>
      </c>
      <c r="BL7" s="27">
        <f t="shared" si="24"/>
        <v>155028</v>
      </c>
      <c r="BM7" s="27">
        <f t="shared" ref="BM7:BM40" si="25">BK7+BL7</f>
        <v>319032</v>
      </c>
    </row>
    <row r="8" spans="1:65" ht="18.75" customHeight="1">
      <c r="A8" s="25">
        <v>3</v>
      </c>
      <c r="B8" s="26" t="s">
        <v>48</v>
      </c>
      <c r="C8" s="27">
        <v>79777</v>
      </c>
      <c r="D8" s="27">
        <v>77174</v>
      </c>
      <c r="E8" s="27">
        <f t="shared" si="0"/>
        <v>156951</v>
      </c>
      <c r="F8" s="27">
        <v>51911</v>
      </c>
      <c r="G8" s="27">
        <v>51591</v>
      </c>
      <c r="H8" s="27">
        <f t="shared" si="1"/>
        <v>103502</v>
      </c>
      <c r="I8" s="27">
        <v>42567</v>
      </c>
      <c r="J8" s="27">
        <v>42757</v>
      </c>
      <c r="K8" s="27">
        <f t="shared" si="2"/>
        <v>85324</v>
      </c>
      <c r="L8" s="27">
        <v>39025</v>
      </c>
      <c r="M8" s="27">
        <v>38715</v>
      </c>
      <c r="N8" s="27">
        <f t="shared" si="3"/>
        <v>77740</v>
      </c>
      <c r="O8" s="27">
        <v>36527</v>
      </c>
      <c r="P8" s="27">
        <v>35852</v>
      </c>
      <c r="Q8" s="27">
        <f t="shared" si="4"/>
        <v>72379</v>
      </c>
      <c r="R8" s="27">
        <v>38224</v>
      </c>
      <c r="S8" s="27">
        <v>39271</v>
      </c>
      <c r="T8" s="27">
        <f t="shared" si="5"/>
        <v>77495</v>
      </c>
      <c r="U8" s="27">
        <f t="shared" si="14"/>
        <v>208254</v>
      </c>
      <c r="V8" s="27">
        <f t="shared" si="14"/>
        <v>208186</v>
      </c>
      <c r="W8" s="27">
        <f t="shared" si="15"/>
        <v>416440</v>
      </c>
      <c r="X8" s="27">
        <v>37668</v>
      </c>
      <c r="Y8" s="27">
        <v>38487</v>
      </c>
      <c r="Z8" s="27">
        <f t="shared" si="6"/>
        <v>76155</v>
      </c>
      <c r="AA8" s="27">
        <v>37163</v>
      </c>
      <c r="AB8" s="27">
        <v>38034</v>
      </c>
      <c r="AC8" s="27">
        <f t="shared" si="7"/>
        <v>75197</v>
      </c>
      <c r="AD8" s="27">
        <v>32036</v>
      </c>
      <c r="AE8" s="27">
        <v>26983</v>
      </c>
      <c r="AF8" s="27">
        <f t="shared" si="8"/>
        <v>59019</v>
      </c>
      <c r="AG8" s="27">
        <f t="shared" si="16"/>
        <v>106867</v>
      </c>
      <c r="AH8" s="27">
        <f t="shared" si="16"/>
        <v>103504</v>
      </c>
      <c r="AI8" s="27">
        <f t="shared" si="17"/>
        <v>210371</v>
      </c>
      <c r="AJ8" s="27">
        <f t="shared" si="18"/>
        <v>315121</v>
      </c>
      <c r="AK8" s="27">
        <f t="shared" si="18"/>
        <v>311690</v>
      </c>
      <c r="AL8" s="27">
        <f t="shared" si="19"/>
        <v>626811</v>
      </c>
      <c r="AM8" s="27">
        <f>(3957+36465)</f>
        <v>40422</v>
      </c>
      <c r="AN8" s="27">
        <f>(4298+36947)</f>
        <v>41245</v>
      </c>
      <c r="AO8" s="27">
        <f t="shared" si="9"/>
        <v>81667</v>
      </c>
      <c r="AP8" s="27">
        <f>(2934+26293)</f>
        <v>29227</v>
      </c>
      <c r="AQ8" s="27">
        <f>(3016+26558)</f>
        <v>29574</v>
      </c>
      <c r="AR8" s="27">
        <f t="shared" si="10"/>
        <v>58801</v>
      </c>
      <c r="AS8" s="27">
        <f t="shared" si="11"/>
        <v>69649</v>
      </c>
      <c r="AT8" s="27">
        <f t="shared" si="11"/>
        <v>70819</v>
      </c>
      <c r="AU8" s="27">
        <f t="shared" si="20"/>
        <v>140468</v>
      </c>
      <c r="AV8" s="27">
        <f t="shared" si="21"/>
        <v>384770</v>
      </c>
      <c r="AW8" s="27">
        <f t="shared" si="21"/>
        <v>382509</v>
      </c>
      <c r="AX8" s="27">
        <f t="shared" si="22"/>
        <v>767279</v>
      </c>
      <c r="AY8" s="27">
        <f>(1688+4290)</f>
        <v>5978</v>
      </c>
      <c r="AZ8" s="27">
        <f>(1534+4113)</f>
        <v>5647</v>
      </c>
      <c r="BA8" s="27">
        <f t="shared" ref="BA8:BA40" si="26">AY8+AZ8</f>
        <v>11625</v>
      </c>
      <c r="BB8" s="27">
        <f>(1212+3382)</f>
        <v>4594</v>
      </c>
      <c r="BC8" s="27">
        <f>(1106+3390)</f>
        <v>4496</v>
      </c>
      <c r="BD8" s="27">
        <f t="shared" si="12"/>
        <v>9090</v>
      </c>
      <c r="BE8" s="27">
        <f t="shared" ref="BE8:BF40" si="27">AY8+BB8</f>
        <v>10572</v>
      </c>
      <c r="BF8" s="27">
        <f t="shared" si="27"/>
        <v>10143</v>
      </c>
      <c r="BG8" s="27">
        <f t="shared" ref="BG8:BG40" si="28">BE8+BF8</f>
        <v>20715</v>
      </c>
      <c r="BH8" s="27">
        <f t="shared" si="13"/>
        <v>395342</v>
      </c>
      <c r="BI8" s="27">
        <f t="shared" si="13"/>
        <v>392652</v>
      </c>
      <c r="BJ8" s="27">
        <f t="shared" si="23"/>
        <v>787994</v>
      </c>
      <c r="BK8" s="27">
        <f t="shared" si="24"/>
        <v>475119</v>
      </c>
      <c r="BL8" s="27">
        <f t="shared" si="24"/>
        <v>469826</v>
      </c>
      <c r="BM8" s="27">
        <f t="shared" si="25"/>
        <v>944945</v>
      </c>
    </row>
    <row r="9" spans="1:65" ht="18.75" customHeight="1">
      <c r="A9" s="25">
        <v>4</v>
      </c>
      <c r="B9" s="26" t="s">
        <v>18</v>
      </c>
      <c r="C9" s="27"/>
      <c r="D9" s="27"/>
      <c r="E9" s="27"/>
      <c r="F9" s="27">
        <v>33346</v>
      </c>
      <c r="G9" s="27">
        <v>27744</v>
      </c>
      <c r="H9" s="27">
        <f t="shared" si="1"/>
        <v>61090</v>
      </c>
      <c r="I9" s="27">
        <v>28891</v>
      </c>
      <c r="J9" s="27">
        <v>24205</v>
      </c>
      <c r="K9" s="27">
        <f t="shared" si="2"/>
        <v>53096</v>
      </c>
      <c r="L9" s="27">
        <v>26102</v>
      </c>
      <c r="M9" s="27">
        <v>22599</v>
      </c>
      <c r="N9" s="27">
        <f t="shared" si="3"/>
        <v>48701</v>
      </c>
      <c r="O9" s="27">
        <v>24020</v>
      </c>
      <c r="P9" s="27">
        <v>20834</v>
      </c>
      <c r="Q9" s="27">
        <f t="shared" si="4"/>
        <v>44854</v>
      </c>
      <c r="R9" s="27">
        <v>21808</v>
      </c>
      <c r="S9" s="27">
        <v>19052</v>
      </c>
      <c r="T9" s="27">
        <f t="shared" si="5"/>
        <v>40860</v>
      </c>
      <c r="U9" s="27">
        <f t="shared" si="14"/>
        <v>134167</v>
      </c>
      <c r="V9" s="27">
        <f t="shared" si="14"/>
        <v>114434</v>
      </c>
      <c r="W9" s="27">
        <f t="shared" si="15"/>
        <v>248601</v>
      </c>
      <c r="X9" s="27">
        <v>14298</v>
      </c>
      <c r="Y9" s="27">
        <v>12278</v>
      </c>
      <c r="Z9" s="27">
        <f t="shared" si="6"/>
        <v>26576</v>
      </c>
      <c r="AA9" s="27">
        <v>12274</v>
      </c>
      <c r="AB9" s="27">
        <v>10059</v>
      </c>
      <c r="AC9" s="27">
        <f t="shared" si="7"/>
        <v>22333</v>
      </c>
      <c r="AD9" s="27">
        <v>9433</v>
      </c>
      <c r="AE9" s="27">
        <v>7756</v>
      </c>
      <c r="AF9" s="27">
        <f t="shared" si="8"/>
        <v>17189</v>
      </c>
      <c r="AG9" s="27">
        <f t="shared" si="16"/>
        <v>36005</v>
      </c>
      <c r="AH9" s="27">
        <f t="shared" si="16"/>
        <v>30093</v>
      </c>
      <c r="AI9" s="27">
        <f t="shared" si="17"/>
        <v>66098</v>
      </c>
      <c r="AJ9" s="27">
        <f t="shared" si="18"/>
        <v>170172</v>
      </c>
      <c r="AK9" s="27">
        <f t="shared" si="18"/>
        <v>144527</v>
      </c>
      <c r="AL9" s="27">
        <f t="shared" si="19"/>
        <v>314699</v>
      </c>
      <c r="AM9" s="27">
        <v>6967</v>
      </c>
      <c r="AN9" s="27">
        <v>5477</v>
      </c>
      <c r="AO9" s="27">
        <f t="shared" si="9"/>
        <v>12444</v>
      </c>
      <c r="AP9" s="27">
        <v>5915</v>
      </c>
      <c r="AQ9" s="27">
        <v>4161</v>
      </c>
      <c r="AR9" s="27">
        <f t="shared" si="10"/>
        <v>10076</v>
      </c>
      <c r="AS9" s="27">
        <f t="shared" si="11"/>
        <v>12882</v>
      </c>
      <c r="AT9" s="27">
        <f t="shared" si="11"/>
        <v>9638</v>
      </c>
      <c r="AU9" s="27">
        <f t="shared" si="20"/>
        <v>22520</v>
      </c>
      <c r="AV9" s="27">
        <f t="shared" si="21"/>
        <v>183054</v>
      </c>
      <c r="AW9" s="27">
        <f t="shared" si="21"/>
        <v>154165</v>
      </c>
      <c r="AX9" s="27">
        <f t="shared" si="22"/>
        <v>337219</v>
      </c>
      <c r="AY9" s="27">
        <f>3168+1085</f>
        <v>4253</v>
      </c>
      <c r="AZ9" s="27">
        <f>2017+691</f>
        <v>2708</v>
      </c>
      <c r="BA9" s="27">
        <f t="shared" si="26"/>
        <v>6961</v>
      </c>
      <c r="BB9" s="27">
        <f>2777+951</f>
        <v>3728</v>
      </c>
      <c r="BC9" s="27">
        <f>1776+608</f>
        <v>2384</v>
      </c>
      <c r="BD9" s="27">
        <f t="shared" si="12"/>
        <v>6112</v>
      </c>
      <c r="BE9" s="27">
        <f t="shared" si="27"/>
        <v>7981</v>
      </c>
      <c r="BF9" s="27">
        <f t="shared" si="27"/>
        <v>5092</v>
      </c>
      <c r="BG9" s="27">
        <f t="shared" si="28"/>
        <v>13073</v>
      </c>
      <c r="BH9" s="27">
        <f t="shared" si="13"/>
        <v>191035</v>
      </c>
      <c r="BI9" s="27">
        <f t="shared" si="13"/>
        <v>159257</v>
      </c>
      <c r="BJ9" s="27">
        <f t="shared" si="23"/>
        <v>350292</v>
      </c>
      <c r="BK9" s="27">
        <f t="shared" si="24"/>
        <v>191035</v>
      </c>
      <c r="BL9" s="27">
        <f t="shared" si="24"/>
        <v>159257</v>
      </c>
      <c r="BM9" s="27">
        <f t="shared" si="25"/>
        <v>350292</v>
      </c>
    </row>
    <row r="10" spans="1:65" ht="18.75" customHeight="1">
      <c r="A10" s="25">
        <v>5</v>
      </c>
      <c r="B10" s="28" t="s">
        <v>19</v>
      </c>
      <c r="C10" s="27">
        <v>10873</v>
      </c>
      <c r="D10" s="27">
        <v>9882</v>
      </c>
      <c r="E10" s="27">
        <f t="shared" si="0"/>
        <v>20755</v>
      </c>
      <c r="F10" s="27">
        <v>117385</v>
      </c>
      <c r="G10" s="27">
        <v>108429</v>
      </c>
      <c r="H10" s="27">
        <f t="shared" si="1"/>
        <v>225814</v>
      </c>
      <c r="I10" s="27">
        <v>108581</v>
      </c>
      <c r="J10" s="27">
        <v>103576</v>
      </c>
      <c r="K10" s="27">
        <f t="shared" si="2"/>
        <v>212157</v>
      </c>
      <c r="L10" s="27">
        <v>98495</v>
      </c>
      <c r="M10" s="27">
        <v>93926</v>
      </c>
      <c r="N10" s="27">
        <f t="shared" si="3"/>
        <v>192421</v>
      </c>
      <c r="O10" s="27">
        <v>93258</v>
      </c>
      <c r="P10" s="27">
        <v>86978</v>
      </c>
      <c r="Q10" s="27">
        <f t="shared" si="4"/>
        <v>180236</v>
      </c>
      <c r="R10" s="27">
        <v>86450</v>
      </c>
      <c r="S10" s="27">
        <v>80664</v>
      </c>
      <c r="T10" s="27">
        <f t="shared" si="5"/>
        <v>167114</v>
      </c>
      <c r="U10" s="27">
        <f t="shared" si="14"/>
        <v>504169</v>
      </c>
      <c r="V10" s="27">
        <f t="shared" si="14"/>
        <v>473573</v>
      </c>
      <c r="W10" s="27">
        <f t="shared" si="15"/>
        <v>977742</v>
      </c>
      <c r="X10" s="27">
        <v>81902</v>
      </c>
      <c r="Y10" s="27">
        <v>74020</v>
      </c>
      <c r="Z10" s="27">
        <f t="shared" si="6"/>
        <v>155922</v>
      </c>
      <c r="AA10" s="27">
        <v>73232</v>
      </c>
      <c r="AB10" s="27">
        <v>67406</v>
      </c>
      <c r="AC10" s="27">
        <f t="shared" si="7"/>
        <v>140638</v>
      </c>
      <c r="AD10" s="27">
        <v>65123</v>
      </c>
      <c r="AE10" s="27">
        <v>57595</v>
      </c>
      <c r="AF10" s="27">
        <f t="shared" si="8"/>
        <v>122718</v>
      </c>
      <c r="AG10" s="27">
        <f t="shared" si="16"/>
        <v>220257</v>
      </c>
      <c r="AH10" s="27">
        <f t="shared" si="16"/>
        <v>199021</v>
      </c>
      <c r="AI10" s="27">
        <f t="shared" si="17"/>
        <v>419278</v>
      </c>
      <c r="AJ10" s="27">
        <f t="shared" si="18"/>
        <v>724426</v>
      </c>
      <c r="AK10" s="27">
        <f t="shared" si="18"/>
        <v>672594</v>
      </c>
      <c r="AL10" s="27">
        <f t="shared" si="19"/>
        <v>1397020</v>
      </c>
      <c r="AM10" s="27">
        <v>60737</v>
      </c>
      <c r="AN10" s="27">
        <v>57406</v>
      </c>
      <c r="AO10" s="27">
        <f t="shared" si="9"/>
        <v>118143</v>
      </c>
      <c r="AP10" s="27">
        <v>51956</v>
      </c>
      <c r="AQ10" s="27">
        <v>49475</v>
      </c>
      <c r="AR10" s="27">
        <f t="shared" si="10"/>
        <v>101431</v>
      </c>
      <c r="AS10" s="27">
        <f t="shared" si="11"/>
        <v>112693</v>
      </c>
      <c r="AT10" s="27">
        <f t="shared" si="11"/>
        <v>106881</v>
      </c>
      <c r="AU10" s="27">
        <f t="shared" si="20"/>
        <v>219574</v>
      </c>
      <c r="AV10" s="27">
        <f t="shared" si="21"/>
        <v>837119</v>
      </c>
      <c r="AW10" s="27">
        <f t="shared" si="21"/>
        <v>779475</v>
      </c>
      <c r="AX10" s="27">
        <f t="shared" si="22"/>
        <v>1616594</v>
      </c>
      <c r="AY10" s="27">
        <v>29640</v>
      </c>
      <c r="AZ10" s="27">
        <v>25324</v>
      </c>
      <c r="BA10" s="27">
        <f t="shared" si="26"/>
        <v>54964</v>
      </c>
      <c r="BB10" s="27">
        <v>26600</v>
      </c>
      <c r="BC10" s="27">
        <v>21289</v>
      </c>
      <c r="BD10" s="27">
        <f t="shared" si="12"/>
        <v>47889</v>
      </c>
      <c r="BE10" s="27">
        <f t="shared" si="27"/>
        <v>56240</v>
      </c>
      <c r="BF10" s="27">
        <f t="shared" si="27"/>
        <v>46613</v>
      </c>
      <c r="BG10" s="27">
        <f t="shared" si="28"/>
        <v>102853</v>
      </c>
      <c r="BH10" s="27">
        <f t="shared" si="13"/>
        <v>893359</v>
      </c>
      <c r="BI10" s="27">
        <f t="shared" si="13"/>
        <v>826088</v>
      </c>
      <c r="BJ10" s="27">
        <f t="shared" si="23"/>
        <v>1719447</v>
      </c>
      <c r="BK10" s="27">
        <f t="shared" si="24"/>
        <v>904232</v>
      </c>
      <c r="BL10" s="27">
        <f t="shared" si="24"/>
        <v>835970</v>
      </c>
      <c r="BM10" s="27">
        <f t="shared" si="25"/>
        <v>1740202</v>
      </c>
    </row>
    <row r="11" spans="1:65" ht="18.75" customHeight="1">
      <c r="A11" s="25">
        <v>6</v>
      </c>
      <c r="B11" s="26" t="s">
        <v>20</v>
      </c>
      <c r="C11" s="27"/>
      <c r="D11" s="27"/>
      <c r="E11" s="27"/>
      <c r="F11" s="27">
        <v>847</v>
      </c>
      <c r="G11" s="27">
        <v>813</v>
      </c>
      <c r="H11" s="27">
        <f t="shared" si="1"/>
        <v>1660</v>
      </c>
      <c r="I11" s="27">
        <v>903</v>
      </c>
      <c r="J11" s="27">
        <v>883</v>
      </c>
      <c r="K11" s="27">
        <f t="shared" si="2"/>
        <v>1786</v>
      </c>
      <c r="L11" s="27">
        <v>906</v>
      </c>
      <c r="M11" s="27">
        <v>838</v>
      </c>
      <c r="N11" s="27">
        <f t="shared" si="3"/>
        <v>1744</v>
      </c>
      <c r="O11" s="27">
        <v>963</v>
      </c>
      <c r="P11" s="27">
        <v>927</v>
      </c>
      <c r="Q11" s="27">
        <f t="shared" si="4"/>
        <v>1890</v>
      </c>
      <c r="R11" s="27">
        <v>1103</v>
      </c>
      <c r="S11" s="27">
        <v>1043</v>
      </c>
      <c r="T11" s="27">
        <f t="shared" si="5"/>
        <v>2146</v>
      </c>
      <c r="U11" s="27">
        <f t="shared" si="14"/>
        <v>4722</v>
      </c>
      <c r="V11" s="27">
        <f t="shared" si="14"/>
        <v>4504</v>
      </c>
      <c r="W11" s="27">
        <f t="shared" si="15"/>
        <v>9226</v>
      </c>
      <c r="X11" s="27">
        <v>1353</v>
      </c>
      <c r="Y11" s="27">
        <v>1247</v>
      </c>
      <c r="Z11" s="27">
        <f t="shared" si="6"/>
        <v>2600</v>
      </c>
      <c r="AA11" s="27">
        <v>1202</v>
      </c>
      <c r="AB11" s="27">
        <v>1118</v>
      </c>
      <c r="AC11" s="27">
        <f t="shared" si="7"/>
        <v>2320</v>
      </c>
      <c r="AD11" s="27">
        <v>1189</v>
      </c>
      <c r="AE11" s="27">
        <v>1040</v>
      </c>
      <c r="AF11" s="27">
        <f t="shared" si="8"/>
        <v>2229</v>
      </c>
      <c r="AG11" s="27">
        <f t="shared" si="16"/>
        <v>3744</v>
      </c>
      <c r="AH11" s="27">
        <f t="shared" si="16"/>
        <v>3405</v>
      </c>
      <c r="AI11" s="27">
        <f t="shared" si="17"/>
        <v>7149</v>
      </c>
      <c r="AJ11" s="27">
        <f t="shared" si="18"/>
        <v>8466</v>
      </c>
      <c r="AK11" s="27">
        <f t="shared" si="18"/>
        <v>7909</v>
      </c>
      <c r="AL11" s="27">
        <f t="shared" si="19"/>
        <v>16375</v>
      </c>
      <c r="AM11" s="27">
        <v>1367</v>
      </c>
      <c r="AN11" s="27">
        <v>1295</v>
      </c>
      <c r="AO11" s="27">
        <f t="shared" si="9"/>
        <v>2662</v>
      </c>
      <c r="AP11" s="27">
        <v>790</v>
      </c>
      <c r="AQ11" s="27">
        <v>856</v>
      </c>
      <c r="AR11" s="27">
        <f t="shared" si="10"/>
        <v>1646</v>
      </c>
      <c r="AS11" s="27">
        <f t="shared" si="11"/>
        <v>2157</v>
      </c>
      <c r="AT11" s="27">
        <f t="shared" si="11"/>
        <v>2151</v>
      </c>
      <c r="AU11" s="27">
        <f t="shared" si="20"/>
        <v>4308</v>
      </c>
      <c r="AV11" s="27">
        <f t="shared" si="21"/>
        <v>10623</v>
      </c>
      <c r="AW11" s="27">
        <f t="shared" si="21"/>
        <v>10060</v>
      </c>
      <c r="AX11" s="27">
        <f t="shared" si="22"/>
        <v>20683</v>
      </c>
      <c r="AY11" s="27">
        <v>669</v>
      </c>
      <c r="AZ11" s="27">
        <v>707</v>
      </c>
      <c r="BA11" s="27">
        <f t="shared" si="26"/>
        <v>1376</v>
      </c>
      <c r="BB11" s="27">
        <v>509</v>
      </c>
      <c r="BC11" s="27">
        <v>591</v>
      </c>
      <c r="BD11" s="27">
        <f t="shared" si="12"/>
        <v>1100</v>
      </c>
      <c r="BE11" s="27">
        <f t="shared" si="27"/>
        <v>1178</v>
      </c>
      <c r="BF11" s="27">
        <f t="shared" si="27"/>
        <v>1298</v>
      </c>
      <c r="BG11" s="27">
        <f t="shared" si="28"/>
        <v>2476</v>
      </c>
      <c r="BH11" s="27">
        <f t="shared" si="13"/>
        <v>11801</v>
      </c>
      <c r="BI11" s="27">
        <f t="shared" si="13"/>
        <v>11358</v>
      </c>
      <c r="BJ11" s="27">
        <f t="shared" si="23"/>
        <v>23159</v>
      </c>
      <c r="BK11" s="27">
        <f t="shared" si="24"/>
        <v>11801</v>
      </c>
      <c r="BL11" s="27">
        <f t="shared" si="24"/>
        <v>11358</v>
      </c>
      <c r="BM11" s="27">
        <f t="shared" si="25"/>
        <v>23159</v>
      </c>
    </row>
    <row r="12" spans="1:65" ht="18.75" customHeight="1">
      <c r="A12" s="25">
        <v>7</v>
      </c>
      <c r="B12" s="26" t="s">
        <v>21</v>
      </c>
      <c r="C12" s="27"/>
      <c r="D12" s="27"/>
      <c r="E12" s="27"/>
      <c r="F12" s="27">
        <v>182385</v>
      </c>
      <c r="G12" s="27">
        <v>166015</v>
      </c>
      <c r="H12" s="27">
        <f t="shared" si="1"/>
        <v>348400</v>
      </c>
      <c r="I12" s="27">
        <v>137462</v>
      </c>
      <c r="J12" s="27">
        <v>128918</v>
      </c>
      <c r="K12" s="27">
        <f t="shared" si="2"/>
        <v>266380</v>
      </c>
      <c r="L12" s="27">
        <v>121267</v>
      </c>
      <c r="M12" s="27">
        <v>113730</v>
      </c>
      <c r="N12" s="27">
        <f t="shared" si="3"/>
        <v>234997</v>
      </c>
      <c r="O12" s="27">
        <v>104388</v>
      </c>
      <c r="P12" s="27">
        <v>97901</v>
      </c>
      <c r="Q12" s="27">
        <f t="shared" si="4"/>
        <v>202289</v>
      </c>
      <c r="R12" s="27">
        <v>89259</v>
      </c>
      <c r="S12" s="27">
        <v>83713</v>
      </c>
      <c r="T12" s="27">
        <f t="shared" si="5"/>
        <v>172972</v>
      </c>
      <c r="U12" s="27">
        <f t="shared" si="14"/>
        <v>634761</v>
      </c>
      <c r="V12" s="27">
        <f t="shared" si="14"/>
        <v>590277</v>
      </c>
      <c r="W12" s="27">
        <f t="shared" si="15"/>
        <v>1225038</v>
      </c>
      <c r="X12" s="27">
        <v>73128</v>
      </c>
      <c r="Y12" s="27">
        <v>68584</v>
      </c>
      <c r="Z12" s="27">
        <f t="shared" si="6"/>
        <v>141712</v>
      </c>
      <c r="AA12" s="27">
        <v>59143</v>
      </c>
      <c r="AB12" s="27">
        <v>55464</v>
      </c>
      <c r="AC12" s="27">
        <f t="shared" si="7"/>
        <v>114607</v>
      </c>
      <c r="AD12" s="27">
        <v>55605</v>
      </c>
      <c r="AE12" s="27">
        <v>43473</v>
      </c>
      <c r="AF12" s="27">
        <f>AD12+AE12</f>
        <v>99078</v>
      </c>
      <c r="AG12" s="27">
        <f t="shared" si="16"/>
        <v>187876</v>
      </c>
      <c r="AH12" s="27">
        <f t="shared" si="16"/>
        <v>167521</v>
      </c>
      <c r="AI12" s="27">
        <f t="shared" si="17"/>
        <v>355397</v>
      </c>
      <c r="AJ12" s="27">
        <f t="shared" si="18"/>
        <v>822637</v>
      </c>
      <c r="AK12" s="27">
        <f t="shared" si="18"/>
        <v>757798</v>
      </c>
      <c r="AL12" s="27">
        <f t="shared" si="19"/>
        <v>1580435</v>
      </c>
      <c r="AM12" s="27">
        <v>57568</v>
      </c>
      <c r="AN12" s="27">
        <v>46723</v>
      </c>
      <c r="AO12" s="27">
        <f>AM12+AN12</f>
        <v>104291</v>
      </c>
      <c r="AP12" s="27">
        <v>46285</v>
      </c>
      <c r="AQ12" s="27">
        <v>39560</v>
      </c>
      <c r="AR12" s="27">
        <f>AP12+AQ12</f>
        <v>85845</v>
      </c>
      <c r="AS12" s="27">
        <f t="shared" si="11"/>
        <v>103853</v>
      </c>
      <c r="AT12" s="27">
        <f t="shared" si="11"/>
        <v>86283</v>
      </c>
      <c r="AU12" s="27">
        <f t="shared" si="20"/>
        <v>190136</v>
      </c>
      <c r="AV12" s="27">
        <f t="shared" si="21"/>
        <v>926490</v>
      </c>
      <c r="AW12" s="27">
        <f t="shared" si="21"/>
        <v>844081</v>
      </c>
      <c r="AX12" s="27">
        <f t="shared" si="22"/>
        <v>1770571</v>
      </c>
      <c r="AY12" s="27">
        <v>33270</v>
      </c>
      <c r="AZ12" s="27">
        <v>26789</v>
      </c>
      <c r="BA12" s="27">
        <f>AY12+AZ12</f>
        <v>60059</v>
      </c>
      <c r="BB12" s="27">
        <v>26701</v>
      </c>
      <c r="BC12" s="27">
        <v>21815</v>
      </c>
      <c r="BD12" s="27">
        <f>BB12+BC12</f>
        <v>48516</v>
      </c>
      <c r="BE12" s="27">
        <f t="shared" si="27"/>
        <v>59971</v>
      </c>
      <c r="BF12" s="27">
        <f t="shared" si="27"/>
        <v>48604</v>
      </c>
      <c r="BG12" s="27">
        <f t="shared" si="28"/>
        <v>108575</v>
      </c>
      <c r="BH12" s="27">
        <f t="shared" si="13"/>
        <v>986461</v>
      </c>
      <c r="BI12" s="27">
        <f t="shared" si="13"/>
        <v>892685</v>
      </c>
      <c r="BJ12" s="27">
        <f t="shared" si="23"/>
        <v>1879146</v>
      </c>
      <c r="BK12" s="27">
        <f t="shared" si="24"/>
        <v>986461</v>
      </c>
      <c r="BL12" s="27">
        <f t="shared" si="24"/>
        <v>892685</v>
      </c>
      <c r="BM12" s="27">
        <f t="shared" si="25"/>
        <v>1879146</v>
      </c>
    </row>
    <row r="13" spans="1:65" ht="18.75" customHeight="1">
      <c r="A13" s="25">
        <v>8</v>
      </c>
      <c r="B13" s="26" t="s">
        <v>22</v>
      </c>
      <c r="C13" s="27"/>
      <c r="D13" s="27"/>
      <c r="E13" s="27"/>
      <c r="F13" s="27"/>
      <c r="G13" s="27"/>
      <c r="H13" s="27">
        <f t="shared" si="1"/>
        <v>0</v>
      </c>
      <c r="I13" s="27"/>
      <c r="J13" s="27"/>
      <c r="K13" s="27">
        <f t="shared" si="2"/>
        <v>0</v>
      </c>
      <c r="L13" s="27"/>
      <c r="M13" s="27"/>
      <c r="N13" s="27">
        <f t="shared" si="3"/>
        <v>0</v>
      </c>
      <c r="O13" s="27"/>
      <c r="P13" s="27"/>
      <c r="Q13" s="27">
        <f t="shared" si="4"/>
        <v>0</v>
      </c>
      <c r="R13" s="27"/>
      <c r="S13" s="27"/>
      <c r="T13" s="27">
        <f t="shared" si="5"/>
        <v>0</v>
      </c>
      <c r="U13" s="27">
        <f t="shared" si="14"/>
        <v>0</v>
      </c>
      <c r="V13" s="27">
        <f t="shared" si="14"/>
        <v>0</v>
      </c>
      <c r="W13" s="27">
        <f t="shared" si="15"/>
        <v>0</v>
      </c>
      <c r="X13" s="27"/>
      <c r="Y13" s="27"/>
      <c r="Z13" s="27">
        <f t="shared" si="6"/>
        <v>0</v>
      </c>
      <c r="AA13" s="27"/>
      <c r="AB13" s="27"/>
      <c r="AC13" s="27">
        <f t="shared" si="7"/>
        <v>0</v>
      </c>
      <c r="AD13" s="27"/>
      <c r="AE13" s="27"/>
      <c r="AF13" s="27">
        <f t="shared" si="8"/>
        <v>0</v>
      </c>
      <c r="AG13" s="27">
        <f t="shared" si="16"/>
        <v>0</v>
      </c>
      <c r="AH13" s="27">
        <f t="shared" si="16"/>
        <v>0</v>
      </c>
      <c r="AI13" s="27">
        <f t="shared" si="17"/>
        <v>0</v>
      </c>
      <c r="AJ13" s="27">
        <f t="shared" si="18"/>
        <v>0</v>
      </c>
      <c r="AK13" s="27">
        <f t="shared" si="18"/>
        <v>0</v>
      </c>
      <c r="AL13" s="27">
        <f t="shared" si="19"/>
        <v>0</v>
      </c>
      <c r="AM13" s="27"/>
      <c r="AN13" s="27"/>
      <c r="AO13" s="27">
        <f t="shared" si="9"/>
        <v>0</v>
      </c>
      <c r="AP13" s="27"/>
      <c r="AQ13" s="27"/>
      <c r="AR13" s="27">
        <f t="shared" si="10"/>
        <v>0</v>
      </c>
      <c r="AS13" s="27">
        <f t="shared" si="11"/>
        <v>0</v>
      </c>
      <c r="AT13" s="27">
        <f t="shared" si="11"/>
        <v>0</v>
      </c>
      <c r="AU13" s="27">
        <f t="shared" si="20"/>
        <v>0</v>
      </c>
      <c r="AV13" s="27">
        <f t="shared" si="21"/>
        <v>0</v>
      </c>
      <c r="AW13" s="27">
        <f t="shared" si="21"/>
        <v>0</v>
      </c>
      <c r="AX13" s="27">
        <f t="shared" si="22"/>
        <v>0</v>
      </c>
      <c r="AY13" s="27"/>
      <c r="AZ13" s="27"/>
      <c r="BA13" s="27">
        <f t="shared" si="26"/>
        <v>0</v>
      </c>
      <c r="BB13" s="27"/>
      <c r="BC13" s="27"/>
      <c r="BD13" s="27">
        <f>BB13+BC13</f>
        <v>0</v>
      </c>
      <c r="BE13" s="27">
        <f t="shared" si="27"/>
        <v>0</v>
      </c>
      <c r="BF13" s="27">
        <f t="shared" si="27"/>
        <v>0</v>
      </c>
      <c r="BG13" s="27">
        <f t="shared" si="28"/>
        <v>0</v>
      </c>
      <c r="BH13" s="27">
        <f t="shared" si="13"/>
        <v>0</v>
      </c>
      <c r="BI13" s="27">
        <f t="shared" si="13"/>
        <v>0</v>
      </c>
      <c r="BJ13" s="27">
        <f t="shared" si="23"/>
        <v>0</v>
      </c>
      <c r="BK13" s="27">
        <f t="shared" si="24"/>
        <v>0</v>
      </c>
      <c r="BL13" s="27">
        <f t="shared" si="24"/>
        <v>0</v>
      </c>
      <c r="BM13" s="27">
        <f t="shared" si="25"/>
        <v>0</v>
      </c>
    </row>
    <row r="14" spans="1:65" ht="18.75" customHeight="1">
      <c r="A14" s="25">
        <v>9</v>
      </c>
      <c r="B14" s="26" t="s">
        <v>23</v>
      </c>
      <c r="C14" s="27"/>
      <c r="D14" s="27"/>
      <c r="E14" s="27"/>
      <c r="F14" s="27">
        <v>3401</v>
      </c>
      <c r="G14" s="27">
        <v>3236</v>
      </c>
      <c r="H14" s="27">
        <f t="shared" si="1"/>
        <v>6637</v>
      </c>
      <c r="I14" s="27">
        <v>3660</v>
      </c>
      <c r="J14" s="27">
        <v>3407</v>
      </c>
      <c r="K14" s="27">
        <f t="shared" si="2"/>
        <v>7067</v>
      </c>
      <c r="L14" s="27">
        <v>3817</v>
      </c>
      <c r="M14" s="27">
        <v>3620</v>
      </c>
      <c r="N14" s="27">
        <f t="shared" si="3"/>
        <v>7437</v>
      </c>
      <c r="O14" s="27">
        <v>3564</v>
      </c>
      <c r="P14" s="27">
        <v>3455</v>
      </c>
      <c r="Q14" s="27">
        <f t="shared" si="4"/>
        <v>7019</v>
      </c>
      <c r="R14" s="27">
        <v>3697</v>
      </c>
      <c r="S14" s="27">
        <v>3381</v>
      </c>
      <c r="T14" s="27">
        <f t="shared" si="5"/>
        <v>7078</v>
      </c>
      <c r="U14" s="27">
        <f t="shared" si="14"/>
        <v>18139</v>
      </c>
      <c r="V14" s="27">
        <f t="shared" si="14"/>
        <v>17099</v>
      </c>
      <c r="W14" s="27">
        <f t="shared" si="15"/>
        <v>35238</v>
      </c>
      <c r="X14" s="27">
        <v>3804</v>
      </c>
      <c r="Y14" s="27">
        <v>3483</v>
      </c>
      <c r="Z14" s="27">
        <f t="shared" si="6"/>
        <v>7287</v>
      </c>
      <c r="AA14" s="27">
        <v>3891</v>
      </c>
      <c r="AB14" s="27">
        <v>3739</v>
      </c>
      <c r="AC14" s="27">
        <f t="shared" si="7"/>
        <v>7630</v>
      </c>
      <c r="AD14" s="27">
        <v>4305</v>
      </c>
      <c r="AE14" s="27">
        <v>3889</v>
      </c>
      <c r="AF14" s="27">
        <f t="shared" si="8"/>
        <v>8194</v>
      </c>
      <c r="AG14" s="27">
        <f t="shared" si="16"/>
        <v>12000</v>
      </c>
      <c r="AH14" s="27">
        <f t="shared" si="16"/>
        <v>11111</v>
      </c>
      <c r="AI14" s="27">
        <f t="shared" si="17"/>
        <v>23111</v>
      </c>
      <c r="AJ14" s="27">
        <f t="shared" si="18"/>
        <v>30139</v>
      </c>
      <c r="AK14" s="27">
        <f t="shared" si="18"/>
        <v>28210</v>
      </c>
      <c r="AL14" s="27">
        <f t="shared" si="19"/>
        <v>58349</v>
      </c>
      <c r="AM14" s="27">
        <v>4456</v>
      </c>
      <c r="AN14" s="27">
        <v>3950</v>
      </c>
      <c r="AO14" s="27">
        <f t="shared" si="9"/>
        <v>8406</v>
      </c>
      <c r="AP14" s="27">
        <v>4116</v>
      </c>
      <c r="AQ14" s="27">
        <v>3861</v>
      </c>
      <c r="AR14" s="27">
        <f t="shared" si="10"/>
        <v>7977</v>
      </c>
      <c r="AS14" s="27">
        <f t="shared" si="11"/>
        <v>8572</v>
      </c>
      <c r="AT14" s="27">
        <f t="shared" si="11"/>
        <v>7811</v>
      </c>
      <c r="AU14" s="27">
        <f t="shared" si="20"/>
        <v>16383</v>
      </c>
      <c r="AV14" s="27">
        <f t="shared" si="21"/>
        <v>38711</v>
      </c>
      <c r="AW14" s="27">
        <f t="shared" si="21"/>
        <v>36021</v>
      </c>
      <c r="AX14" s="27">
        <f t="shared" si="22"/>
        <v>74732</v>
      </c>
      <c r="AY14" s="27">
        <v>3568</v>
      </c>
      <c r="AZ14" s="27">
        <v>3138</v>
      </c>
      <c r="BA14" s="27">
        <f t="shared" si="26"/>
        <v>6706</v>
      </c>
      <c r="BB14" s="27">
        <v>2637</v>
      </c>
      <c r="BC14" s="27">
        <v>2428</v>
      </c>
      <c r="BD14" s="27">
        <f t="shared" si="12"/>
        <v>5065</v>
      </c>
      <c r="BE14" s="27">
        <f t="shared" si="27"/>
        <v>6205</v>
      </c>
      <c r="BF14" s="27">
        <f t="shared" si="27"/>
        <v>5566</v>
      </c>
      <c r="BG14" s="27">
        <f t="shared" si="28"/>
        <v>11771</v>
      </c>
      <c r="BH14" s="27">
        <f t="shared" si="13"/>
        <v>44916</v>
      </c>
      <c r="BI14" s="27">
        <f t="shared" si="13"/>
        <v>41587</v>
      </c>
      <c r="BJ14" s="27">
        <f t="shared" si="23"/>
        <v>86503</v>
      </c>
      <c r="BK14" s="27">
        <f t="shared" si="24"/>
        <v>44916</v>
      </c>
      <c r="BL14" s="27">
        <f t="shared" si="24"/>
        <v>41587</v>
      </c>
      <c r="BM14" s="27">
        <f t="shared" si="25"/>
        <v>86503</v>
      </c>
    </row>
    <row r="15" spans="1:65" s="24" customFormat="1" ht="18.75" customHeight="1">
      <c r="A15" s="25">
        <v>10</v>
      </c>
      <c r="B15" s="26" t="s">
        <v>24</v>
      </c>
      <c r="C15" s="27">
        <v>3867</v>
      </c>
      <c r="D15" s="27">
        <v>3250</v>
      </c>
      <c r="E15" s="27">
        <f t="shared" si="0"/>
        <v>7117</v>
      </c>
      <c r="F15" s="27">
        <v>15048</v>
      </c>
      <c r="G15" s="27">
        <v>13418</v>
      </c>
      <c r="H15" s="27">
        <f t="shared" si="1"/>
        <v>28466</v>
      </c>
      <c r="I15" s="27">
        <v>14393</v>
      </c>
      <c r="J15" s="27">
        <v>12539</v>
      </c>
      <c r="K15" s="27">
        <f t="shared" si="2"/>
        <v>26932</v>
      </c>
      <c r="L15" s="27">
        <v>13636</v>
      </c>
      <c r="M15" s="27">
        <v>11778</v>
      </c>
      <c r="N15" s="27">
        <f t="shared" si="3"/>
        <v>25414</v>
      </c>
      <c r="O15" s="27">
        <v>13081</v>
      </c>
      <c r="P15" s="27">
        <v>10933</v>
      </c>
      <c r="Q15" s="27">
        <f t="shared" si="4"/>
        <v>24014</v>
      </c>
      <c r="R15" s="27">
        <v>13782</v>
      </c>
      <c r="S15" s="27">
        <v>11229</v>
      </c>
      <c r="T15" s="27">
        <f t="shared" si="5"/>
        <v>25011</v>
      </c>
      <c r="U15" s="27">
        <f t="shared" si="14"/>
        <v>69940</v>
      </c>
      <c r="V15" s="27">
        <f t="shared" si="14"/>
        <v>59897</v>
      </c>
      <c r="W15" s="27">
        <f t="shared" si="15"/>
        <v>129837</v>
      </c>
      <c r="X15" s="27">
        <v>12052</v>
      </c>
      <c r="Y15" s="27">
        <v>11947</v>
      </c>
      <c r="Z15" s="27">
        <f t="shared" si="6"/>
        <v>23999</v>
      </c>
      <c r="AA15" s="27">
        <v>8354</v>
      </c>
      <c r="AB15" s="27">
        <v>6206</v>
      </c>
      <c r="AC15" s="27">
        <f t="shared" si="7"/>
        <v>14560</v>
      </c>
      <c r="AD15" s="27">
        <v>8955</v>
      </c>
      <c r="AE15" s="27">
        <v>5440</v>
      </c>
      <c r="AF15" s="27">
        <f t="shared" si="8"/>
        <v>14395</v>
      </c>
      <c r="AG15" s="27">
        <f t="shared" si="16"/>
        <v>29361</v>
      </c>
      <c r="AH15" s="27">
        <f t="shared" si="16"/>
        <v>23593</v>
      </c>
      <c r="AI15" s="27">
        <f t="shared" si="17"/>
        <v>52954</v>
      </c>
      <c r="AJ15" s="27">
        <f t="shared" si="18"/>
        <v>99301</v>
      </c>
      <c r="AK15" s="27">
        <f t="shared" si="18"/>
        <v>83490</v>
      </c>
      <c r="AL15" s="27">
        <f t="shared" si="19"/>
        <v>182791</v>
      </c>
      <c r="AM15" s="27">
        <v>5947</v>
      </c>
      <c r="AN15" s="27">
        <v>3999</v>
      </c>
      <c r="AO15" s="27">
        <f t="shared" si="9"/>
        <v>9946</v>
      </c>
      <c r="AP15" s="27">
        <v>4377</v>
      </c>
      <c r="AQ15" s="27">
        <v>2592</v>
      </c>
      <c r="AR15" s="27">
        <f t="shared" si="10"/>
        <v>6969</v>
      </c>
      <c r="AS15" s="27">
        <f t="shared" si="11"/>
        <v>10324</v>
      </c>
      <c r="AT15" s="27">
        <f t="shared" si="11"/>
        <v>6591</v>
      </c>
      <c r="AU15" s="27">
        <f t="shared" si="20"/>
        <v>16915</v>
      </c>
      <c r="AV15" s="27">
        <f t="shared" si="21"/>
        <v>109625</v>
      </c>
      <c r="AW15" s="27">
        <f t="shared" si="21"/>
        <v>90081</v>
      </c>
      <c r="AX15" s="27">
        <f t="shared" si="22"/>
        <v>199706</v>
      </c>
      <c r="AY15" s="27">
        <v>3390</v>
      </c>
      <c r="AZ15" s="27">
        <v>2101</v>
      </c>
      <c r="BA15" s="27">
        <f t="shared" si="26"/>
        <v>5491</v>
      </c>
      <c r="BB15" s="27">
        <v>3170</v>
      </c>
      <c r="BC15" s="27">
        <v>2051</v>
      </c>
      <c r="BD15" s="27">
        <f t="shared" si="12"/>
        <v>5221</v>
      </c>
      <c r="BE15" s="27">
        <f t="shared" si="27"/>
        <v>6560</v>
      </c>
      <c r="BF15" s="27">
        <f t="shared" si="27"/>
        <v>4152</v>
      </c>
      <c r="BG15" s="27">
        <f t="shared" si="28"/>
        <v>10712</v>
      </c>
      <c r="BH15" s="27">
        <f t="shared" si="13"/>
        <v>116185</v>
      </c>
      <c r="BI15" s="27">
        <f t="shared" si="13"/>
        <v>94233</v>
      </c>
      <c r="BJ15" s="27">
        <f t="shared" si="23"/>
        <v>210418</v>
      </c>
      <c r="BK15" s="27">
        <f t="shared" si="24"/>
        <v>120052</v>
      </c>
      <c r="BL15" s="27">
        <f t="shared" si="24"/>
        <v>97483</v>
      </c>
      <c r="BM15" s="27">
        <f t="shared" si="25"/>
        <v>217535</v>
      </c>
    </row>
    <row r="16" spans="1:65" s="24" customFormat="1" ht="18.75" customHeight="1">
      <c r="A16" s="25">
        <v>11</v>
      </c>
      <c r="B16" s="26" t="s">
        <v>52</v>
      </c>
      <c r="C16" s="27">
        <v>14450</v>
      </c>
      <c r="D16" s="27">
        <v>10913</v>
      </c>
      <c r="E16" s="27">
        <f t="shared" si="0"/>
        <v>25363</v>
      </c>
      <c r="F16" s="27">
        <v>200660</v>
      </c>
      <c r="G16" s="27">
        <v>190882</v>
      </c>
      <c r="H16" s="27">
        <f t="shared" si="1"/>
        <v>391542</v>
      </c>
      <c r="I16" s="27">
        <v>157044</v>
      </c>
      <c r="J16" s="27">
        <v>151767</v>
      </c>
      <c r="K16" s="27">
        <f t="shared" si="2"/>
        <v>308811</v>
      </c>
      <c r="L16" s="27">
        <v>147553</v>
      </c>
      <c r="M16" s="27">
        <v>141478</v>
      </c>
      <c r="N16" s="27">
        <f t="shared" si="3"/>
        <v>289031</v>
      </c>
      <c r="O16" s="27">
        <v>138693</v>
      </c>
      <c r="P16" s="27">
        <v>131740</v>
      </c>
      <c r="Q16" s="27">
        <f t="shared" si="4"/>
        <v>270433</v>
      </c>
      <c r="R16" s="27">
        <v>132515</v>
      </c>
      <c r="S16" s="27">
        <v>125203</v>
      </c>
      <c r="T16" s="27">
        <f t="shared" si="5"/>
        <v>257718</v>
      </c>
      <c r="U16" s="27">
        <f t="shared" ref="U16" si="29">F16+I16+L16+O16+R16</f>
        <v>776465</v>
      </c>
      <c r="V16" s="27">
        <f t="shared" ref="V16" si="30">G16+J16+M16+P16+S16</f>
        <v>741070</v>
      </c>
      <c r="W16" s="27">
        <f t="shared" si="15"/>
        <v>1517535</v>
      </c>
      <c r="X16" s="27">
        <v>89981</v>
      </c>
      <c r="Y16" s="27">
        <v>87104</v>
      </c>
      <c r="Z16" s="27">
        <f t="shared" si="6"/>
        <v>177085</v>
      </c>
      <c r="AA16" s="27">
        <v>82481</v>
      </c>
      <c r="AB16" s="27">
        <v>79384</v>
      </c>
      <c r="AC16" s="27">
        <f t="shared" si="7"/>
        <v>161865</v>
      </c>
      <c r="AD16" s="27">
        <v>71399</v>
      </c>
      <c r="AE16" s="27">
        <v>67659</v>
      </c>
      <c r="AF16" s="27">
        <f t="shared" si="8"/>
        <v>139058</v>
      </c>
      <c r="AG16" s="27">
        <f t="shared" ref="AG16" si="31">X16+AA16+AD16</f>
        <v>243861</v>
      </c>
      <c r="AH16" s="27">
        <f t="shared" ref="AH16" si="32">Y16+AB16+AE16</f>
        <v>234147</v>
      </c>
      <c r="AI16" s="27">
        <f t="shared" ref="AI16" si="33">AG16+AH16</f>
        <v>478008</v>
      </c>
      <c r="AJ16" s="27">
        <f t="shared" ref="AJ16" si="34">U16+AG16</f>
        <v>1020326</v>
      </c>
      <c r="AK16" s="27">
        <f t="shared" ref="AK16" si="35">V16+AH16</f>
        <v>975217</v>
      </c>
      <c r="AL16" s="27">
        <f t="shared" ref="AL16" si="36">AJ16+AK16</f>
        <v>1995543</v>
      </c>
      <c r="AM16" s="27">
        <v>48354</v>
      </c>
      <c r="AN16" s="27">
        <v>43755</v>
      </c>
      <c r="AO16" s="27">
        <f t="shared" si="9"/>
        <v>92109</v>
      </c>
      <c r="AP16" s="27">
        <v>34806</v>
      </c>
      <c r="AQ16" s="27">
        <v>31571</v>
      </c>
      <c r="AR16" s="27">
        <f t="shared" si="10"/>
        <v>66377</v>
      </c>
      <c r="AS16" s="27">
        <f t="shared" ref="AS16" si="37">AM16+AP16</f>
        <v>83160</v>
      </c>
      <c r="AT16" s="27">
        <f t="shared" ref="AT16" si="38">AN16+AQ16</f>
        <v>75326</v>
      </c>
      <c r="AU16" s="27">
        <f t="shared" ref="AU16" si="39">AS16+AT16</f>
        <v>158486</v>
      </c>
      <c r="AV16" s="27">
        <f t="shared" ref="AV16" si="40">U16+AG16+AS16</f>
        <v>1103486</v>
      </c>
      <c r="AW16" s="27">
        <f t="shared" ref="AW16" si="41">V16+AH16+AT16</f>
        <v>1050543</v>
      </c>
      <c r="AX16" s="27">
        <f t="shared" ref="AX16" si="42">AV16+AW16</f>
        <v>2154029</v>
      </c>
      <c r="AY16" s="27">
        <v>10943</v>
      </c>
      <c r="AZ16" s="27">
        <v>9591</v>
      </c>
      <c r="BA16" s="27">
        <f t="shared" si="26"/>
        <v>20534</v>
      </c>
      <c r="BB16" s="27">
        <v>8975</v>
      </c>
      <c r="BC16" s="27">
        <v>7058</v>
      </c>
      <c r="BD16" s="27">
        <f t="shared" si="12"/>
        <v>16033</v>
      </c>
      <c r="BE16" s="27">
        <f t="shared" si="27"/>
        <v>19918</v>
      </c>
      <c r="BF16" s="27">
        <f t="shared" si="27"/>
        <v>16649</v>
      </c>
      <c r="BG16" s="27">
        <f t="shared" si="28"/>
        <v>36567</v>
      </c>
      <c r="BH16" s="27">
        <f t="shared" si="13"/>
        <v>1123404</v>
      </c>
      <c r="BI16" s="27">
        <f t="shared" si="13"/>
        <v>1067192</v>
      </c>
      <c r="BJ16" s="27">
        <f t="shared" si="23"/>
        <v>2190596</v>
      </c>
      <c r="BK16" s="27">
        <f t="shared" si="24"/>
        <v>1137854</v>
      </c>
      <c r="BL16" s="27">
        <f t="shared" si="24"/>
        <v>1078105</v>
      </c>
      <c r="BM16" s="27">
        <f t="shared" si="25"/>
        <v>2215959</v>
      </c>
    </row>
    <row r="17" spans="1:65" ht="18.75" customHeight="1">
      <c r="A17" s="25">
        <v>12</v>
      </c>
      <c r="B17" s="26" t="s">
        <v>25</v>
      </c>
      <c r="C17" s="27"/>
      <c r="D17" s="27"/>
      <c r="E17" s="27"/>
      <c r="F17" s="27">
        <v>48808</v>
      </c>
      <c r="G17" s="27">
        <v>44284</v>
      </c>
      <c r="H17" s="27">
        <f t="shared" si="1"/>
        <v>93092</v>
      </c>
      <c r="I17" s="27">
        <v>45902</v>
      </c>
      <c r="J17" s="27">
        <v>43481</v>
      </c>
      <c r="K17" s="27">
        <f t="shared" si="2"/>
        <v>89383</v>
      </c>
      <c r="L17" s="27">
        <v>43820</v>
      </c>
      <c r="M17" s="27">
        <v>41427</v>
      </c>
      <c r="N17" s="27">
        <f t="shared" si="3"/>
        <v>85247</v>
      </c>
      <c r="O17" s="27">
        <v>45574</v>
      </c>
      <c r="P17" s="27">
        <v>42688</v>
      </c>
      <c r="Q17" s="27">
        <f t="shared" si="4"/>
        <v>88262</v>
      </c>
      <c r="R17" s="27">
        <v>46210</v>
      </c>
      <c r="S17" s="27">
        <v>43548</v>
      </c>
      <c r="T17" s="27">
        <f t="shared" si="5"/>
        <v>89758</v>
      </c>
      <c r="U17" s="27">
        <f t="shared" si="14"/>
        <v>230314</v>
      </c>
      <c r="V17" s="27">
        <f t="shared" si="14"/>
        <v>215428</v>
      </c>
      <c r="W17" s="27">
        <f t="shared" si="15"/>
        <v>445742</v>
      </c>
      <c r="X17" s="27">
        <v>43577</v>
      </c>
      <c r="Y17" s="27">
        <v>40008</v>
      </c>
      <c r="Z17" s="27">
        <f t="shared" si="6"/>
        <v>83585</v>
      </c>
      <c r="AA17" s="27">
        <v>42023</v>
      </c>
      <c r="AB17" s="27">
        <v>39312</v>
      </c>
      <c r="AC17" s="27">
        <f>AA17+AB17</f>
        <v>81335</v>
      </c>
      <c r="AD17" s="27">
        <v>36942</v>
      </c>
      <c r="AE17" s="27">
        <v>32320</v>
      </c>
      <c r="AF17" s="27">
        <f t="shared" si="8"/>
        <v>69262</v>
      </c>
      <c r="AG17" s="27">
        <f t="shared" si="16"/>
        <v>122542</v>
      </c>
      <c r="AH17" s="27">
        <f t="shared" si="16"/>
        <v>111640</v>
      </c>
      <c r="AI17" s="27">
        <f t="shared" si="17"/>
        <v>234182</v>
      </c>
      <c r="AJ17" s="27">
        <f t="shared" si="18"/>
        <v>352856</v>
      </c>
      <c r="AK17" s="27">
        <f t="shared" si="18"/>
        <v>327068</v>
      </c>
      <c r="AL17" s="27">
        <f t="shared" si="19"/>
        <v>679924</v>
      </c>
      <c r="AM17" s="27">
        <v>34157</v>
      </c>
      <c r="AN17" s="27">
        <v>29214</v>
      </c>
      <c r="AO17" s="27">
        <f t="shared" si="9"/>
        <v>63371</v>
      </c>
      <c r="AP17" s="27">
        <v>27375</v>
      </c>
      <c r="AQ17" s="27">
        <v>24619</v>
      </c>
      <c r="AR17" s="27">
        <f t="shared" si="10"/>
        <v>51994</v>
      </c>
      <c r="AS17" s="27">
        <f t="shared" si="11"/>
        <v>61532</v>
      </c>
      <c r="AT17" s="27">
        <f t="shared" si="11"/>
        <v>53833</v>
      </c>
      <c r="AU17" s="27">
        <f t="shared" si="20"/>
        <v>115365</v>
      </c>
      <c r="AV17" s="27">
        <f t="shared" si="21"/>
        <v>414388</v>
      </c>
      <c r="AW17" s="27">
        <f t="shared" si="21"/>
        <v>380901</v>
      </c>
      <c r="AX17" s="27">
        <f t="shared" si="22"/>
        <v>795289</v>
      </c>
      <c r="AY17" s="27">
        <v>18412</v>
      </c>
      <c r="AZ17" s="27">
        <v>14197</v>
      </c>
      <c r="BA17" s="27">
        <f t="shared" si="26"/>
        <v>32609</v>
      </c>
      <c r="BB17" s="27">
        <v>11957</v>
      </c>
      <c r="BC17" s="27">
        <v>10381</v>
      </c>
      <c r="BD17" s="27">
        <f t="shared" si="12"/>
        <v>22338</v>
      </c>
      <c r="BE17" s="27">
        <f t="shared" si="27"/>
        <v>30369</v>
      </c>
      <c r="BF17" s="27">
        <f t="shared" si="27"/>
        <v>24578</v>
      </c>
      <c r="BG17" s="27">
        <f t="shared" si="28"/>
        <v>54947</v>
      </c>
      <c r="BH17" s="27">
        <f t="shared" si="13"/>
        <v>444757</v>
      </c>
      <c r="BI17" s="27">
        <f t="shared" si="13"/>
        <v>405479</v>
      </c>
      <c r="BJ17" s="27">
        <f t="shared" si="23"/>
        <v>850236</v>
      </c>
      <c r="BK17" s="27">
        <f t="shared" si="24"/>
        <v>444757</v>
      </c>
      <c r="BL17" s="27">
        <f t="shared" si="24"/>
        <v>405479</v>
      </c>
      <c r="BM17" s="27">
        <f t="shared" si="25"/>
        <v>850236</v>
      </c>
    </row>
    <row r="18" spans="1:65" ht="18.75" customHeight="1">
      <c r="A18" s="25">
        <v>13</v>
      </c>
      <c r="B18" s="26" t="s">
        <v>26</v>
      </c>
      <c r="C18" s="27"/>
      <c r="D18" s="27"/>
      <c r="E18" s="27"/>
      <c r="F18" s="27">
        <v>3870</v>
      </c>
      <c r="G18" s="27">
        <v>3435</v>
      </c>
      <c r="H18" s="27">
        <f t="shared" si="1"/>
        <v>7305</v>
      </c>
      <c r="I18" s="27">
        <v>4238</v>
      </c>
      <c r="J18" s="27">
        <v>3804</v>
      </c>
      <c r="K18" s="27">
        <f t="shared" si="2"/>
        <v>8042</v>
      </c>
      <c r="L18" s="27">
        <v>4181</v>
      </c>
      <c r="M18" s="27">
        <v>3798</v>
      </c>
      <c r="N18" s="27">
        <f t="shared" si="3"/>
        <v>7979</v>
      </c>
      <c r="O18" s="27">
        <v>4542</v>
      </c>
      <c r="P18" s="27">
        <v>4233</v>
      </c>
      <c r="Q18" s="27">
        <f t="shared" si="4"/>
        <v>8775</v>
      </c>
      <c r="R18" s="27">
        <v>4851</v>
      </c>
      <c r="S18" s="27">
        <v>4415</v>
      </c>
      <c r="T18" s="27">
        <f t="shared" si="5"/>
        <v>9266</v>
      </c>
      <c r="U18" s="27">
        <f t="shared" si="14"/>
        <v>21682</v>
      </c>
      <c r="V18" s="27">
        <f t="shared" si="14"/>
        <v>19685</v>
      </c>
      <c r="W18" s="27">
        <f t="shared" si="15"/>
        <v>41367</v>
      </c>
      <c r="X18" s="27">
        <v>4807</v>
      </c>
      <c r="Y18" s="27">
        <v>4582</v>
      </c>
      <c r="Z18" s="27">
        <f t="shared" si="6"/>
        <v>9389</v>
      </c>
      <c r="AA18" s="27">
        <v>4584</v>
      </c>
      <c r="AB18" s="27">
        <v>4119</v>
      </c>
      <c r="AC18" s="27">
        <f t="shared" si="7"/>
        <v>8703</v>
      </c>
      <c r="AD18" s="27">
        <v>4169</v>
      </c>
      <c r="AE18" s="27">
        <v>3952</v>
      </c>
      <c r="AF18" s="27">
        <f t="shared" si="8"/>
        <v>8121</v>
      </c>
      <c r="AG18" s="27">
        <f t="shared" si="16"/>
        <v>13560</v>
      </c>
      <c r="AH18" s="27">
        <f t="shared" si="16"/>
        <v>12653</v>
      </c>
      <c r="AI18" s="27">
        <f t="shared" si="17"/>
        <v>26213</v>
      </c>
      <c r="AJ18" s="27">
        <f t="shared" si="18"/>
        <v>35242</v>
      </c>
      <c r="AK18" s="27">
        <f t="shared" si="18"/>
        <v>32338</v>
      </c>
      <c r="AL18" s="27">
        <f t="shared" si="19"/>
        <v>67580</v>
      </c>
      <c r="AM18" s="27">
        <v>3625</v>
      </c>
      <c r="AN18" s="27">
        <v>3701</v>
      </c>
      <c r="AO18" s="27">
        <f t="shared" si="9"/>
        <v>7326</v>
      </c>
      <c r="AP18" s="27">
        <v>2781</v>
      </c>
      <c r="AQ18" s="27">
        <v>2930</v>
      </c>
      <c r="AR18" s="27">
        <f t="shared" si="10"/>
        <v>5711</v>
      </c>
      <c r="AS18" s="27">
        <f t="shared" si="11"/>
        <v>6406</v>
      </c>
      <c r="AT18" s="27">
        <f t="shared" si="11"/>
        <v>6631</v>
      </c>
      <c r="AU18" s="27">
        <f t="shared" si="20"/>
        <v>13037</v>
      </c>
      <c r="AV18" s="27">
        <f t="shared" si="21"/>
        <v>41648</v>
      </c>
      <c r="AW18" s="27">
        <f t="shared" si="21"/>
        <v>38969</v>
      </c>
      <c r="AX18" s="27">
        <f t="shared" si="22"/>
        <v>80617</v>
      </c>
      <c r="AY18" s="27">
        <v>1664</v>
      </c>
      <c r="AZ18" s="27">
        <v>1911</v>
      </c>
      <c r="BA18" s="27">
        <f t="shared" si="26"/>
        <v>3575</v>
      </c>
      <c r="BB18" s="27">
        <v>1499</v>
      </c>
      <c r="BC18" s="27">
        <v>1721</v>
      </c>
      <c r="BD18" s="27">
        <f t="shared" si="12"/>
        <v>3220</v>
      </c>
      <c r="BE18" s="27">
        <f t="shared" si="27"/>
        <v>3163</v>
      </c>
      <c r="BF18" s="27">
        <f t="shared" si="27"/>
        <v>3632</v>
      </c>
      <c r="BG18" s="27">
        <f t="shared" si="28"/>
        <v>6795</v>
      </c>
      <c r="BH18" s="27">
        <f t="shared" si="13"/>
        <v>44811</v>
      </c>
      <c r="BI18" s="27">
        <f t="shared" si="13"/>
        <v>42601</v>
      </c>
      <c r="BJ18" s="27">
        <f t="shared" si="23"/>
        <v>87412</v>
      </c>
      <c r="BK18" s="27">
        <f t="shared" si="24"/>
        <v>44811</v>
      </c>
      <c r="BL18" s="27">
        <f t="shared" si="24"/>
        <v>42601</v>
      </c>
      <c r="BM18" s="27">
        <f t="shared" si="25"/>
        <v>87412</v>
      </c>
    </row>
    <row r="19" spans="1:65" ht="18.75" customHeight="1">
      <c r="A19" s="25">
        <v>14</v>
      </c>
      <c r="B19" s="26" t="s">
        <v>27</v>
      </c>
      <c r="C19" s="27"/>
      <c r="D19" s="27"/>
      <c r="E19" s="27"/>
      <c r="F19" s="27">
        <v>350179</v>
      </c>
      <c r="G19" s="27">
        <v>315834</v>
      </c>
      <c r="H19" s="27">
        <f t="shared" si="1"/>
        <v>666013</v>
      </c>
      <c r="I19" s="27">
        <v>310379</v>
      </c>
      <c r="J19" s="27">
        <v>297494</v>
      </c>
      <c r="K19" s="27">
        <f t="shared" si="2"/>
        <v>607873</v>
      </c>
      <c r="L19" s="27">
        <v>277519</v>
      </c>
      <c r="M19" s="27">
        <v>278446</v>
      </c>
      <c r="N19" s="27">
        <f t="shared" si="3"/>
        <v>555965</v>
      </c>
      <c r="O19" s="27">
        <v>253889</v>
      </c>
      <c r="P19" s="27">
        <v>256114</v>
      </c>
      <c r="Q19" s="27">
        <f t="shared" si="4"/>
        <v>510003</v>
      </c>
      <c r="R19" s="27">
        <v>222707</v>
      </c>
      <c r="S19" s="27">
        <v>232218</v>
      </c>
      <c r="T19" s="27">
        <f t="shared" si="5"/>
        <v>454925</v>
      </c>
      <c r="U19" s="27">
        <f t="shared" si="14"/>
        <v>1414673</v>
      </c>
      <c r="V19" s="27">
        <f t="shared" si="14"/>
        <v>1380106</v>
      </c>
      <c r="W19" s="27">
        <f t="shared" si="15"/>
        <v>2794779</v>
      </c>
      <c r="X19" s="27">
        <v>177530</v>
      </c>
      <c r="Y19" s="27">
        <v>188932</v>
      </c>
      <c r="Z19" s="27">
        <f t="shared" si="6"/>
        <v>366462</v>
      </c>
      <c r="AA19" s="27">
        <v>159823</v>
      </c>
      <c r="AB19" s="27">
        <v>165107</v>
      </c>
      <c r="AC19" s="27">
        <f t="shared" si="7"/>
        <v>324930</v>
      </c>
      <c r="AD19" s="27">
        <v>130109</v>
      </c>
      <c r="AE19" s="27">
        <v>125099</v>
      </c>
      <c r="AF19" s="27">
        <f t="shared" si="8"/>
        <v>255208</v>
      </c>
      <c r="AG19" s="27">
        <f t="shared" si="16"/>
        <v>467462</v>
      </c>
      <c r="AH19" s="27">
        <f t="shared" si="16"/>
        <v>479138</v>
      </c>
      <c r="AI19" s="27">
        <f t="shared" si="17"/>
        <v>946600</v>
      </c>
      <c r="AJ19" s="27">
        <f t="shared" si="18"/>
        <v>1882135</v>
      </c>
      <c r="AK19" s="27">
        <f t="shared" si="18"/>
        <v>1859244</v>
      </c>
      <c r="AL19" s="27">
        <f t="shared" si="19"/>
        <v>3741379</v>
      </c>
      <c r="AM19" s="27">
        <v>110471</v>
      </c>
      <c r="AN19" s="27">
        <v>66410</v>
      </c>
      <c r="AO19" s="27">
        <f t="shared" si="9"/>
        <v>176881</v>
      </c>
      <c r="AP19" s="27">
        <v>89821</v>
      </c>
      <c r="AQ19" s="27">
        <v>49623</v>
      </c>
      <c r="AR19" s="27">
        <f t="shared" si="10"/>
        <v>139444</v>
      </c>
      <c r="AS19" s="27">
        <f t="shared" si="11"/>
        <v>200292</v>
      </c>
      <c r="AT19" s="27">
        <f t="shared" si="11"/>
        <v>116033</v>
      </c>
      <c r="AU19" s="27">
        <f t="shared" si="20"/>
        <v>316325</v>
      </c>
      <c r="AV19" s="27">
        <f t="shared" si="21"/>
        <v>2082427</v>
      </c>
      <c r="AW19" s="27">
        <f t="shared" si="21"/>
        <v>1975277</v>
      </c>
      <c r="AX19" s="27">
        <f t="shared" si="22"/>
        <v>4057704</v>
      </c>
      <c r="AY19" s="27">
        <v>58261</v>
      </c>
      <c r="AZ19" s="27">
        <v>40678</v>
      </c>
      <c r="BA19" s="27">
        <f t="shared" si="26"/>
        <v>98939</v>
      </c>
      <c r="BB19" s="27">
        <v>55087</v>
      </c>
      <c r="BC19" s="27">
        <v>38714</v>
      </c>
      <c r="BD19" s="27">
        <f t="shared" si="12"/>
        <v>93801</v>
      </c>
      <c r="BE19" s="27">
        <f t="shared" si="27"/>
        <v>113348</v>
      </c>
      <c r="BF19" s="27">
        <f t="shared" si="27"/>
        <v>79392</v>
      </c>
      <c r="BG19" s="27">
        <f t="shared" si="28"/>
        <v>192740</v>
      </c>
      <c r="BH19" s="27">
        <f t="shared" si="13"/>
        <v>2195775</v>
      </c>
      <c r="BI19" s="27">
        <f t="shared" si="13"/>
        <v>2054669</v>
      </c>
      <c r="BJ19" s="27">
        <f t="shared" si="23"/>
        <v>4250444</v>
      </c>
      <c r="BK19" s="27">
        <f t="shared" si="24"/>
        <v>2195775</v>
      </c>
      <c r="BL19" s="27">
        <f t="shared" si="24"/>
        <v>2054669</v>
      </c>
      <c r="BM19" s="27">
        <f t="shared" si="25"/>
        <v>4250444</v>
      </c>
    </row>
    <row r="20" spans="1:65" ht="18.75" customHeight="1">
      <c r="A20" s="25">
        <v>15</v>
      </c>
      <c r="B20" s="26" t="s">
        <v>28</v>
      </c>
      <c r="C20" s="27">
        <v>138441</v>
      </c>
      <c r="D20" s="27">
        <v>130971</v>
      </c>
      <c r="E20" s="27">
        <f t="shared" si="0"/>
        <v>269412</v>
      </c>
      <c r="F20" s="27">
        <v>142158</v>
      </c>
      <c r="G20" s="27">
        <v>130575</v>
      </c>
      <c r="H20" s="27">
        <f t="shared" si="1"/>
        <v>272733</v>
      </c>
      <c r="I20" s="27">
        <v>144668</v>
      </c>
      <c r="J20" s="27">
        <v>133078</v>
      </c>
      <c r="K20" s="27">
        <f t="shared" si="2"/>
        <v>277746</v>
      </c>
      <c r="L20" s="27">
        <v>148266</v>
      </c>
      <c r="M20" s="27">
        <v>136004</v>
      </c>
      <c r="N20" s="27">
        <f t="shared" si="3"/>
        <v>284270</v>
      </c>
      <c r="O20" s="27">
        <v>138666</v>
      </c>
      <c r="P20" s="27">
        <v>127146</v>
      </c>
      <c r="Q20" s="27">
        <f t="shared" si="4"/>
        <v>265812</v>
      </c>
      <c r="R20" s="27">
        <v>124644</v>
      </c>
      <c r="S20" s="27">
        <v>109914</v>
      </c>
      <c r="T20" s="27">
        <f t="shared" si="5"/>
        <v>234558</v>
      </c>
      <c r="U20" s="27">
        <f t="shared" si="14"/>
        <v>698402</v>
      </c>
      <c r="V20" s="27">
        <f t="shared" si="14"/>
        <v>636717</v>
      </c>
      <c r="W20" s="27">
        <f t="shared" si="15"/>
        <v>1335119</v>
      </c>
      <c r="X20" s="27">
        <v>117049</v>
      </c>
      <c r="Y20" s="27">
        <v>101778</v>
      </c>
      <c r="Z20" s="27">
        <f t="shared" si="6"/>
        <v>218827</v>
      </c>
      <c r="AA20" s="27">
        <v>109400</v>
      </c>
      <c r="AB20" s="27">
        <v>95506</v>
      </c>
      <c r="AC20" s="27">
        <f t="shared" si="7"/>
        <v>204906</v>
      </c>
      <c r="AD20" s="27">
        <v>94498</v>
      </c>
      <c r="AE20" s="27">
        <v>80005</v>
      </c>
      <c r="AF20" s="27">
        <f t="shared" si="8"/>
        <v>174503</v>
      </c>
      <c r="AG20" s="27">
        <f t="shared" si="16"/>
        <v>320947</v>
      </c>
      <c r="AH20" s="27">
        <f t="shared" si="16"/>
        <v>277289</v>
      </c>
      <c r="AI20" s="27">
        <f t="shared" si="17"/>
        <v>598236</v>
      </c>
      <c r="AJ20" s="27">
        <f t="shared" si="18"/>
        <v>1019349</v>
      </c>
      <c r="AK20" s="27">
        <f t="shared" si="18"/>
        <v>914006</v>
      </c>
      <c r="AL20" s="27">
        <f t="shared" si="19"/>
        <v>1933355</v>
      </c>
      <c r="AM20" s="27">
        <v>84340</v>
      </c>
      <c r="AN20" s="27">
        <v>71131</v>
      </c>
      <c r="AO20" s="27">
        <f t="shared" si="9"/>
        <v>155471</v>
      </c>
      <c r="AP20" s="27">
        <v>77072</v>
      </c>
      <c r="AQ20" s="27">
        <v>65516</v>
      </c>
      <c r="AR20" s="27">
        <f t="shared" si="10"/>
        <v>142588</v>
      </c>
      <c r="AS20" s="27">
        <f t="shared" si="11"/>
        <v>161412</v>
      </c>
      <c r="AT20" s="27">
        <f t="shared" si="11"/>
        <v>136647</v>
      </c>
      <c r="AU20" s="27">
        <f t="shared" si="20"/>
        <v>298059</v>
      </c>
      <c r="AV20" s="27">
        <f t="shared" si="21"/>
        <v>1180761</v>
      </c>
      <c r="AW20" s="27">
        <f t="shared" si="21"/>
        <v>1050653</v>
      </c>
      <c r="AX20" s="27">
        <f t="shared" si="22"/>
        <v>2231414</v>
      </c>
      <c r="AY20" s="27">
        <v>63201</v>
      </c>
      <c r="AZ20" s="27">
        <v>49410</v>
      </c>
      <c r="BA20" s="27">
        <f t="shared" si="26"/>
        <v>112611</v>
      </c>
      <c r="BB20" s="27">
        <v>61962</v>
      </c>
      <c r="BC20" s="27">
        <v>48441</v>
      </c>
      <c r="BD20" s="27">
        <f t="shared" si="12"/>
        <v>110403</v>
      </c>
      <c r="BE20" s="27">
        <f t="shared" si="27"/>
        <v>125163</v>
      </c>
      <c r="BF20" s="27">
        <f t="shared" si="27"/>
        <v>97851</v>
      </c>
      <c r="BG20" s="27">
        <f t="shared" si="28"/>
        <v>223014</v>
      </c>
      <c r="BH20" s="27">
        <f t="shared" si="13"/>
        <v>1305924</v>
      </c>
      <c r="BI20" s="27">
        <f t="shared" si="13"/>
        <v>1148504</v>
      </c>
      <c r="BJ20" s="27">
        <f t="shared" si="23"/>
        <v>2454428</v>
      </c>
      <c r="BK20" s="27">
        <f t="shared" si="24"/>
        <v>1444365</v>
      </c>
      <c r="BL20" s="27">
        <f t="shared" si="24"/>
        <v>1279475</v>
      </c>
      <c r="BM20" s="27">
        <f t="shared" si="25"/>
        <v>2723840</v>
      </c>
    </row>
    <row r="21" spans="1:65" ht="18.75" customHeight="1">
      <c r="A21" s="25">
        <v>16</v>
      </c>
      <c r="B21" s="26" t="s">
        <v>29</v>
      </c>
      <c r="C21" s="27">
        <v>26212</v>
      </c>
      <c r="D21" s="27">
        <v>24942</v>
      </c>
      <c r="E21" s="27">
        <f t="shared" si="0"/>
        <v>51154</v>
      </c>
      <c r="F21" s="27">
        <v>22056</v>
      </c>
      <c r="G21" s="27">
        <v>21612</v>
      </c>
      <c r="H21" s="27">
        <f t="shared" si="1"/>
        <v>43668</v>
      </c>
      <c r="I21" s="27">
        <v>18720</v>
      </c>
      <c r="J21" s="27">
        <v>19492</v>
      </c>
      <c r="K21" s="27">
        <f t="shared" si="2"/>
        <v>38212</v>
      </c>
      <c r="L21" s="27">
        <v>16134</v>
      </c>
      <c r="M21" s="27">
        <v>16011</v>
      </c>
      <c r="N21" s="27">
        <f t="shared" si="3"/>
        <v>32145</v>
      </c>
      <c r="O21" s="27">
        <v>14200</v>
      </c>
      <c r="P21" s="27">
        <v>13870</v>
      </c>
      <c r="Q21" s="27">
        <f t="shared" si="4"/>
        <v>28070</v>
      </c>
      <c r="R21" s="27">
        <v>13666</v>
      </c>
      <c r="S21" s="27">
        <v>13107</v>
      </c>
      <c r="T21" s="27">
        <f t="shared" si="5"/>
        <v>26773</v>
      </c>
      <c r="U21" s="27">
        <f t="shared" si="14"/>
        <v>84776</v>
      </c>
      <c r="V21" s="27">
        <f t="shared" si="14"/>
        <v>84092</v>
      </c>
      <c r="W21" s="27">
        <f t="shared" si="15"/>
        <v>168868</v>
      </c>
      <c r="X21" s="27">
        <v>9529</v>
      </c>
      <c r="Y21" s="27">
        <v>8612</v>
      </c>
      <c r="Z21" s="27">
        <f t="shared" si="6"/>
        <v>18141</v>
      </c>
      <c r="AA21" s="27">
        <v>8682</v>
      </c>
      <c r="AB21" s="27">
        <v>9019</v>
      </c>
      <c r="AC21" s="27">
        <f t="shared" si="7"/>
        <v>17701</v>
      </c>
      <c r="AD21" s="27">
        <v>8814</v>
      </c>
      <c r="AE21" s="27">
        <v>8673</v>
      </c>
      <c r="AF21" s="27">
        <f>AD21+AE21</f>
        <v>17487</v>
      </c>
      <c r="AG21" s="27">
        <f t="shared" si="16"/>
        <v>27025</v>
      </c>
      <c r="AH21" s="27">
        <f t="shared" si="16"/>
        <v>26304</v>
      </c>
      <c r="AI21" s="27">
        <f t="shared" si="17"/>
        <v>53329</v>
      </c>
      <c r="AJ21" s="27">
        <f t="shared" si="18"/>
        <v>111801</v>
      </c>
      <c r="AK21" s="27">
        <f t="shared" si="18"/>
        <v>110396</v>
      </c>
      <c r="AL21" s="27">
        <f t="shared" si="19"/>
        <v>222197</v>
      </c>
      <c r="AM21" s="27">
        <v>5690</v>
      </c>
      <c r="AN21" s="27">
        <v>5609</v>
      </c>
      <c r="AO21" s="27">
        <f>AM21+AN21</f>
        <v>11299</v>
      </c>
      <c r="AP21" s="27">
        <v>5448</v>
      </c>
      <c r="AQ21" s="27">
        <v>5491</v>
      </c>
      <c r="AR21" s="27">
        <f>AP21+AQ21</f>
        <v>10939</v>
      </c>
      <c r="AS21" s="27">
        <f t="shared" si="11"/>
        <v>11138</v>
      </c>
      <c r="AT21" s="27">
        <f t="shared" si="11"/>
        <v>11100</v>
      </c>
      <c r="AU21" s="27">
        <f t="shared" si="20"/>
        <v>22238</v>
      </c>
      <c r="AV21" s="27">
        <f t="shared" si="21"/>
        <v>122939</v>
      </c>
      <c r="AW21" s="27">
        <f t="shared" si="21"/>
        <v>121496</v>
      </c>
      <c r="AX21" s="27">
        <f t="shared" si="22"/>
        <v>244435</v>
      </c>
      <c r="AY21" s="27">
        <v>2841</v>
      </c>
      <c r="AZ21" s="27">
        <v>2951</v>
      </c>
      <c r="BA21" s="27">
        <f>AY21+AZ21</f>
        <v>5792</v>
      </c>
      <c r="BB21" s="27">
        <v>2110</v>
      </c>
      <c r="BC21" s="27">
        <v>2157</v>
      </c>
      <c r="BD21" s="27">
        <f>BB21+BC21</f>
        <v>4267</v>
      </c>
      <c r="BE21" s="27">
        <f t="shared" si="27"/>
        <v>4951</v>
      </c>
      <c r="BF21" s="27">
        <f t="shared" si="27"/>
        <v>5108</v>
      </c>
      <c r="BG21" s="27">
        <f t="shared" si="28"/>
        <v>10059</v>
      </c>
      <c r="BH21" s="27">
        <f t="shared" si="13"/>
        <v>127890</v>
      </c>
      <c r="BI21" s="27">
        <f t="shared" si="13"/>
        <v>126604</v>
      </c>
      <c r="BJ21" s="27">
        <f t="shared" si="23"/>
        <v>254494</v>
      </c>
      <c r="BK21" s="27">
        <f t="shared" si="24"/>
        <v>154102</v>
      </c>
      <c r="BL21" s="27">
        <f t="shared" si="24"/>
        <v>151546</v>
      </c>
      <c r="BM21" s="27">
        <f t="shared" si="25"/>
        <v>305648</v>
      </c>
    </row>
    <row r="22" spans="1:65" ht="18.75" customHeight="1">
      <c r="A22" s="25">
        <v>17</v>
      </c>
      <c r="B22" s="26" t="s">
        <v>30</v>
      </c>
      <c r="C22" s="27">
        <v>118742</v>
      </c>
      <c r="D22" s="27">
        <v>115729</v>
      </c>
      <c r="E22" s="27">
        <f t="shared" si="0"/>
        <v>234471</v>
      </c>
      <c r="F22" s="27">
        <v>71797</v>
      </c>
      <c r="G22" s="27">
        <v>69743</v>
      </c>
      <c r="H22" s="27">
        <f t="shared" si="1"/>
        <v>141540</v>
      </c>
      <c r="I22" s="27">
        <v>51654</v>
      </c>
      <c r="J22" s="27">
        <v>50992</v>
      </c>
      <c r="K22" s="27">
        <f t="shared" si="2"/>
        <v>102646</v>
      </c>
      <c r="L22" s="27">
        <v>44687</v>
      </c>
      <c r="M22" s="27">
        <v>45701</v>
      </c>
      <c r="N22" s="27">
        <f t="shared" si="3"/>
        <v>90388</v>
      </c>
      <c r="O22" s="27">
        <v>37028</v>
      </c>
      <c r="P22" s="27">
        <v>39306</v>
      </c>
      <c r="Q22" s="27">
        <f t="shared" si="4"/>
        <v>76334</v>
      </c>
      <c r="R22" s="27">
        <v>30266</v>
      </c>
      <c r="S22" s="27">
        <v>33578</v>
      </c>
      <c r="T22" s="27">
        <f t="shared" si="5"/>
        <v>63844</v>
      </c>
      <c r="U22" s="27">
        <f t="shared" si="14"/>
        <v>235432</v>
      </c>
      <c r="V22" s="27">
        <f t="shared" si="14"/>
        <v>239320</v>
      </c>
      <c r="W22" s="27">
        <f t="shared" si="15"/>
        <v>474752</v>
      </c>
      <c r="X22" s="27">
        <v>31627</v>
      </c>
      <c r="Y22" s="27">
        <v>35928</v>
      </c>
      <c r="Z22" s="27">
        <f t="shared" si="6"/>
        <v>67555</v>
      </c>
      <c r="AA22" s="27">
        <v>26631</v>
      </c>
      <c r="AB22" s="27">
        <v>30493</v>
      </c>
      <c r="AC22" s="27">
        <f t="shared" si="7"/>
        <v>57124</v>
      </c>
      <c r="AD22" s="27">
        <v>21490</v>
      </c>
      <c r="AE22" s="27">
        <v>24340</v>
      </c>
      <c r="AF22" s="27">
        <f t="shared" si="8"/>
        <v>45830</v>
      </c>
      <c r="AG22" s="27">
        <f t="shared" si="16"/>
        <v>79748</v>
      </c>
      <c r="AH22" s="27">
        <f t="shared" si="16"/>
        <v>90761</v>
      </c>
      <c r="AI22" s="27">
        <f t="shared" si="17"/>
        <v>170509</v>
      </c>
      <c r="AJ22" s="27">
        <f t="shared" si="18"/>
        <v>315180</v>
      </c>
      <c r="AK22" s="27">
        <f t="shared" si="18"/>
        <v>330081</v>
      </c>
      <c r="AL22" s="27">
        <f t="shared" si="19"/>
        <v>645261</v>
      </c>
      <c r="AM22" s="27">
        <v>17820</v>
      </c>
      <c r="AN22" s="27">
        <v>20556</v>
      </c>
      <c r="AO22" s="27">
        <f t="shared" si="9"/>
        <v>38376</v>
      </c>
      <c r="AP22" s="27">
        <v>13851</v>
      </c>
      <c r="AQ22" s="27">
        <v>16413</v>
      </c>
      <c r="AR22" s="27">
        <f t="shared" si="10"/>
        <v>30264</v>
      </c>
      <c r="AS22" s="27">
        <f t="shared" si="11"/>
        <v>31671</v>
      </c>
      <c r="AT22" s="27">
        <f t="shared" si="11"/>
        <v>36969</v>
      </c>
      <c r="AU22" s="27">
        <f t="shared" si="20"/>
        <v>68640</v>
      </c>
      <c r="AV22" s="27">
        <f t="shared" si="21"/>
        <v>346851</v>
      </c>
      <c r="AW22" s="27">
        <f t="shared" si="21"/>
        <v>367050</v>
      </c>
      <c r="AX22" s="27">
        <f t="shared" si="22"/>
        <v>713901</v>
      </c>
      <c r="AY22" s="27">
        <v>3849</v>
      </c>
      <c r="AZ22" s="27">
        <v>5147</v>
      </c>
      <c r="BA22" s="27">
        <f>AY22+AZ22</f>
        <v>8996</v>
      </c>
      <c r="BB22" s="27">
        <v>3365</v>
      </c>
      <c r="BC22" s="27">
        <v>4464</v>
      </c>
      <c r="BD22" s="27">
        <f>BB22+BC22</f>
        <v>7829</v>
      </c>
      <c r="BE22" s="27">
        <f t="shared" si="27"/>
        <v>7214</v>
      </c>
      <c r="BF22" s="27">
        <f t="shared" si="27"/>
        <v>9611</v>
      </c>
      <c r="BG22" s="27">
        <f t="shared" si="28"/>
        <v>16825</v>
      </c>
      <c r="BH22" s="27">
        <f t="shared" si="13"/>
        <v>354065</v>
      </c>
      <c r="BI22" s="27">
        <f t="shared" si="13"/>
        <v>376661</v>
      </c>
      <c r="BJ22" s="27">
        <f t="shared" si="23"/>
        <v>730726</v>
      </c>
      <c r="BK22" s="27">
        <f t="shared" si="24"/>
        <v>472807</v>
      </c>
      <c r="BL22" s="27">
        <f t="shared" si="24"/>
        <v>492390</v>
      </c>
      <c r="BM22" s="27">
        <f t="shared" si="25"/>
        <v>965197</v>
      </c>
    </row>
    <row r="23" spans="1:65" ht="18.75" customHeight="1">
      <c r="A23" s="25">
        <v>18</v>
      </c>
      <c r="B23" s="26" t="s">
        <v>31</v>
      </c>
      <c r="C23" s="27">
        <v>20585</v>
      </c>
      <c r="D23" s="27">
        <v>19166</v>
      </c>
      <c r="E23" s="27">
        <f t="shared" si="0"/>
        <v>39751</v>
      </c>
      <c r="F23" s="27">
        <v>19384</v>
      </c>
      <c r="G23" s="27">
        <v>17700</v>
      </c>
      <c r="H23" s="27">
        <f t="shared" si="1"/>
        <v>37084</v>
      </c>
      <c r="I23" s="27">
        <v>15542</v>
      </c>
      <c r="J23" s="27">
        <v>13956</v>
      </c>
      <c r="K23" s="27">
        <f t="shared" si="2"/>
        <v>29498</v>
      </c>
      <c r="L23" s="27">
        <v>14373</v>
      </c>
      <c r="M23" s="27">
        <v>13145</v>
      </c>
      <c r="N23" s="27">
        <f t="shared" si="3"/>
        <v>27518</v>
      </c>
      <c r="O23" s="27">
        <v>13392</v>
      </c>
      <c r="P23" s="27">
        <v>12014</v>
      </c>
      <c r="Q23" s="27">
        <f t="shared" si="4"/>
        <v>25406</v>
      </c>
      <c r="R23" s="27">
        <v>11963</v>
      </c>
      <c r="S23" s="27">
        <v>11227</v>
      </c>
      <c r="T23" s="27">
        <f t="shared" si="5"/>
        <v>23190</v>
      </c>
      <c r="U23" s="27">
        <f t="shared" si="14"/>
        <v>74654</v>
      </c>
      <c r="V23" s="27">
        <f t="shared" si="14"/>
        <v>68042</v>
      </c>
      <c r="W23" s="27">
        <f t="shared" si="15"/>
        <v>142696</v>
      </c>
      <c r="X23" s="27">
        <v>11474</v>
      </c>
      <c r="Y23" s="27">
        <v>10431</v>
      </c>
      <c r="Z23" s="27">
        <f t="shared" si="6"/>
        <v>21905</v>
      </c>
      <c r="AA23" s="27">
        <v>11252</v>
      </c>
      <c r="AB23" s="27">
        <v>10037</v>
      </c>
      <c r="AC23" s="27">
        <f t="shared" si="7"/>
        <v>21289</v>
      </c>
      <c r="AD23" s="27">
        <v>10427</v>
      </c>
      <c r="AE23" s="27">
        <v>9721</v>
      </c>
      <c r="AF23" s="27">
        <f t="shared" si="8"/>
        <v>20148</v>
      </c>
      <c r="AG23" s="27">
        <f t="shared" si="16"/>
        <v>33153</v>
      </c>
      <c r="AH23" s="27">
        <f t="shared" si="16"/>
        <v>30189</v>
      </c>
      <c r="AI23" s="27">
        <f t="shared" si="17"/>
        <v>63342</v>
      </c>
      <c r="AJ23" s="27">
        <f t="shared" si="18"/>
        <v>107807</v>
      </c>
      <c r="AK23" s="27">
        <f t="shared" si="18"/>
        <v>98231</v>
      </c>
      <c r="AL23" s="27">
        <f t="shared" si="19"/>
        <v>206038</v>
      </c>
      <c r="AM23" s="27">
        <v>9275</v>
      </c>
      <c r="AN23" s="27">
        <v>9114</v>
      </c>
      <c r="AO23" s="27">
        <f t="shared" si="9"/>
        <v>18389</v>
      </c>
      <c r="AP23" s="27">
        <v>8386</v>
      </c>
      <c r="AQ23" s="27">
        <v>8814</v>
      </c>
      <c r="AR23" s="27">
        <f t="shared" si="10"/>
        <v>17200</v>
      </c>
      <c r="AS23" s="27">
        <f t="shared" si="11"/>
        <v>17661</v>
      </c>
      <c r="AT23" s="27">
        <f t="shared" si="11"/>
        <v>17928</v>
      </c>
      <c r="AU23" s="27">
        <f t="shared" si="20"/>
        <v>35589</v>
      </c>
      <c r="AV23" s="27">
        <f t="shared" si="21"/>
        <v>125468</v>
      </c>
      <c r="AW23" s="27">
        <f t="shared" si="21"/>
        <v>116159</v>
      </c>
      <c r="AX23" s="27">
        <f t="shared" si="22"/>
        <v>241627</v>
      </c>
      <c r="AY23" s="27">
        <v>4608</v>
      </c>
      <c r="AZ23" s="27">
        <v>4532</v>
      </c>
      <c r="BA23" s="27">
        <f t="shared" si="26"/>
        <v>9140</v>
      </c>
      <c r="BB23" s="27">
        <v>5396</v>
      </c>
      <c r="BC23" s="27">
        <v>5388</v>
      </c>
      <c r="BD23" s="27">
        <f t="shared" si="12"/>
        <v>10784</v>
      </c>
      <c r="BE23" s="27">
        <f t="shared" si="27"/>
        <v>10004</v>
      </c>
      <c r="BF23" s="27">
        <f t="shared" si="27"/>
        <v>9920</v>
      </c>
      <c r="BG23" s="27">
        <f t="shared" si="28"/>
        <v>19924</v>
      </c>
      <c r="BH23" s="27">
        <f t="shared" si="13"/>
        <v>135472</v>
      </c>
      <c r="BI23" s="27">
        <f t="shared" si="13"/>
        <v>126079</v>
      </c>
      <c r="BJ23" s="27">
        <f t="shared" si="23"/>
        <v>261551</v>
      </c>
      <c r="BK23" s="27">
        <f t="shared" si="24"/>
        <v>156057</v>
      </c>
      <c r="BL23" s="27">
        <f t="shared" si="24"/>
        <v>145245</v>
      </c>
      <c r="BM23" s="27">
        <f t="shared" si="25"/>
        <v>301302</v>
      </c>
    </row>
    <row r="24" spans="1:65" s="24" customFormat="1" ht="18.75" customHeight="1">
      <c r="A24" s="25">
        <v>19</v>
      </c>
      <c r="B24" s="26" t="s">
        <v>54</v>
      </c>
      <c r="C24" s="27">
        <v>57032</v>
      </c>
      <c r="D24" s="27">
        <v>51783</v>
      </c>
      <c r="E24" s="27">
        <f t="shared" si="0"/>
        <v>108815</v>
      </c>
      <c r="F24" s="27">
        <v>26938</v>
      </c>
      <c r="G24" s="27">
        <v>24251</v>
      </c>
      <c r="H24" s="27">
        <f t="shared" si="1"/>
        <v>51189</v>
      </c>
      <c r="I24" s="27">
        <v>23857</v>
      </c>
      <c r="J24" s="27">
        <v>23304</v>
      </c>
      <c r="K24" s="27">
        <f t="shared" si="2"/>
        <v>47161</v>
      </c>
      <c r="L24" s="27">
        <v>21678</v>
      </c>
      <c r="M24" s="27">
        <v>19768</v>
      </c>
      <c r="N24" s="27">
        <f t="shared" si="3"/>
        <v>41446</v>
      </c>
      <c r="O24" s="27">
        <v>18602</v>
      </c>
      <c r="P24" s="27">
        <v>17171</v>
      </c>
      <c r="Q24" s="27">
        <f t="shared" si="4"/>
        <v>35773</v>
      </c>
      <c r="R24" s="27">
        <v>16451</v>
      </c>
      <c r="S24" s="27">
        <v>14696</v>
      </c>
      <c r="T24" s="27">
        <f t="shared" si="5"/>
        <v>31147</v>
      </c>
      <c r="U24" s="27">
        <f t="shared" si="14"/>
        <v>107526</v>
      </c>
      <c r="V24" s="27">
        <f t="shared" si="14"/>
        <v>99190</v>
      </c>
      <c r="W24" s="27">
        <f t="shared" si="15"/>
        <v>206716</v>
      </c>
      <c r="X24" s="27">
        <v>14875</v>
      </c>
      <c r="Y24" s="27">
        <v>14003</v>
      </c>
      <c r="Z24" s="27">
        <f t="shared" si="6"/>
        <v>28878</v>
      </c>
      <c r="AA24" s="27">
        <v>14517</v>
      </c>
      <c r="AB24" s="27">
        <v>13198</v>
      </c>
      <c r="AC24" s="27">
        <f t="shared" si="7"/>
        <v>27715</v>
      </c>
      <c r="AD24" s="27">
        <v>14201</v>
      </c>
      <c r="AE24" s="27">
        <v>13109</v>
      </c>
      <c r="AF24" s="27">
        <f t="shared" si="8"/>
        <v>27310</v>
      </c>
      <c r="AG24" s="27">
        <f t="shared" si="16"/>
        <v>43593</v>
      </c>
      <c r="AH24" s="27">
        <f t="shared" si="16"/>
        <v>40310</v>
      </c>
      <c r="AI24" s="27">
        <f t="shared" si="17"/>
        <v>83903</v>
      </c>
      <c r="AJ24" s="27">
        <f t="shared" si="18"/>
        <v>151119</v>
      </c>
      <c r="AK24" s="27">
        <f t="shared" si="18"/>
        <v>139500</v>
      </c>
      <c r="AL24" s="27">
        <f t="shared" si="19"/>
        <v>290619</v>
      </c>
      <c r="AM24" s="27">
        <v>8593</v>
      </c>
      <c r="AN24" s="27">
        <v>8465</v>
      </c>
      <c r="AO24" s="27">
        <f t="shared" si="9"/>
        <v>17058</v>
      </c>
      <c r="AP24" s="27">
        <v>6992</v>
      </c>
      <c r="AQ24" s="27">
        <v>6891</v>
      </c>
      <c r="AR24" s="27">
        <f t="shared" si="10"/>
        <v>13883</v>
      </c>
      <c r="AS24" s="27">
        <f t="shared" si="11"/>
        <v>15585</v>
      </c>
      <c r="AT24" s="27">
        <f t="shared" si="11"/>
        <v>15356</v>
      </c>
      <c r="AU24" s="27">
        <f t="shared" si="20"/>
        <v>30941</v>
      </c>
      <c r="AV24" s="27">
        <f t="shared" si="21"/>
        <v>166704</v>
      </c>
      <c r="AW24" s="27">
        <f t="shared" si="21"/>
        <v>154856</v>
      </c>
      <c r="AX24" s="27">
        <f t="shared" si="22"/>
        <v>321560</v>
      </c>
      <c r="AY24" s="27">
        <v>5614</v>
      </c>
      <c r="AZ24" s="27">
        <v>5048</v>
      </c>
      <c r="BA24" s="27">
        <f t="shared" si="26"/>
        <v>10662</v>
      </c>
      <c r="BB24" s="27">
        <v>4655</v>
      </c>
      <c r="BC24" s="27">
        <v>4179</v>
      </c>
      <c r="BD24" s="27">
        <f t="shared" si="12"/>
        <v>8834</v>
      </c>
      <c r="BE24" s="27">
        <f t="shared" si="27"/>
        <v>10269</v>
      </c>
      <c r="BF24" s="27">
        <f t="shared" si="27"/>
        <v>9227</v>
      </c>
      <c r="BG24" s="27">
        <f t="shared" si="28"/>
        <v>19496</v>
      </c>
      <c r="BH24" s="27">
        <f t="shared" si="13"/>
        <v>176973</v>
      </c>
      <c r="BI24" s="27">
        <f t="shared" si="13"/>
        <v>164083</v>
      </c>
      <c r="BJ24" s="27">
        <f t="shared" si="23"/>
        <v>341056</v>
      </c>
      <c r="BK24" s="27">
        <f t="shared" si="24"/>
        <v>234005</v>
      </c>
      <c r="BL24" s="27">
        <f t="shared" si="24"/>
        <v>215866</v>
      </c>
      <c r="BM24" s="27">
        <f t="shared" si="25"/>
        <v>449871</v>
      </c>
    </row>
    <row r="25" spans="1:65" ht="18.75" customHeight="1">
      <c r="A25" s="25">
        <v>20</v>
      </c>
      <c r="B25" s="2" t="s">
        <v>55</v>
      </c>
      <c r="C25" s="27"/>
      <c r="D25" s="27"/>
      <c r="E25" s="27"/>
      <c r="F25" s="27">
        <v>173904</v>
      </c>
      <c r="G25" s="27">
        <v>163046</v>
      </c>
      <c r="H25" s="27">
        <f t="shared" si="1"/>
        <v>336950</v>
      </c>
      <c r="I25" s="27">
        <v>159851</v>
      </c>
      <c r="J25" s="27">
        <v>149997</v>
      </c>
      <c r="K25" s="27">
        <f t="shared" si="2"/>
        <v>309848</v>
      </c>
      <c r="L25" s="27">
        <v>136419</v>
      </c>
      <c r="M25" s="27">
        <v>127165</v>
      </c>
      <c r="N25" s="27">
        <f t="shared" si="3"/>
        <v>263584</v>
      </c>
      <c r="O25" s="27">
        <v>126421</v>
      </c>
      <c r="P25" s="27">
        <v>119796</v>
      </c>
      <c r="Q25" s="27">
        <f t="shared" si="4"/>
        <v>246217</v>
      </c>
      <c r="R25" s="27">
        <v>114495</v>
      </c>
      <c r="S25" s="27">
        <v>114048</v>
      </c>
      <c r="T25" s="27">
        <f t="shared" si="5"/>
        <v>228543</v>
      </c>
      <c r="U25" s="27">
        <f t="shared" si="14"/>
        <v>711090</v>
      </c>
      <c r="V25" s="27">
        <f t="shared" si="14"/>
        <v>674052</v>
      </c>
      <c r="W25" s="27">
        <f t="shared" si="15"/>
        <v>1385142</v>
      </c>
      <c r="X25" s="27">
        <v>86964</v>
      </c>
      <c r="Y25" s="27">
        <v>80601</v>
      </c>
      <c r="Z25" s="27">
        <f t="shared" si="6"/>
        <v>167565</v>
      </c>
      <c r="AA25" s="27">
        <v>78299</v>
      </c>
      <c r="AB25" s="27">
        <v>71228</v>
      </c>
      <c r="AC25" s="27">
        <f t="shared" si="7"/>
        <v>149527</v>
      </c>
      <c r="AD25" s="27">
        <v>48074</v>
      </c>
      <c r="AE25" s="27">
        <v>41356</v>
      </c>
      <c r="AF25" s="27">
        <f t="shared" si="8"/>
        <v>89430</v>
      </c>
      <c r="AG25" s="27">
        <f t="shared" si="16"/>
        <v>213337</v>
      </c>
      <c r="AH25" s="27">
        <f t="shared" si="16"/>
        <v>193185</v>
      </c>
      <c r="AI25" s="27">
        <f t="shared" si="17"/>
        <v>406522</v>
      </c>
      <c r="AJ25" s="27">
        <f t="shared" si="18"/>
        <v>924427</v>
      </c>
      <c r="AK25" s="27">
        <f t="shared" si="18"/>
        <v>867237</v>
      </c>
      <c r="AL25" s="27">
        <f t="shared" si="19"/>
        <v>1791664</v>
      </c>
      <c r="AM25" s="27">
        <v>48500</v>
      </c>
      <c r="AN25" s="27">
        <v>43411</v>
      </c>
      <c r="AO25" s="27">
        <f t="shared" si="9"/>
        <v>91911</v>
      </c>
      <c r="AP25" s="27">
        <v>36946</v>
      </c>
      <c r="AQ25" s="27">
        <v>33458</v>
      </c>
      <c r="AR25" s="27">
        <f t="shared" si="10"/>
        <v>70404</v>
      </c>
      <c r="AS25" s="27">
        <f t="shared" si="11"/>
        <v>85446</v>
      </c>
      <c r="AT25" s="27">
        <f t="shared" si="11"/>
        <v>76869</v>
      </c>
      <c r="AU25" s="27">
        <f t="shared" si="20"/>
        <v>162315</v>
      </c>
      <c r="AV25" s="27">
        <f t="shared" si="21"/>
        <v>1009873</v>
      </c>
      <c r="AW25" s="27">
        <f t="shared" si="21"/>
        <v>944106</v>
      </c>
      <c r="AX25" s="27">
        <f t="shared" si="22"/>
        <v>1953979</v>
      </c>
      <c r="AY25" s="27">
        <v>17032</v>
      </c>
      <c r="AZ25" s="27">
        <v>11354</v>
      </c>
      <c r="BA25" s="27">
        <f t="shared" si="26"/>
        <v>28386</v>
      </c>
      <c r="BB25" s="27">
        <v>16364</v>
      </c>
      <c r="BC25" s="27">
        <v>10910</v>
      </c>
      <c r="BD25" s="27">
        <f t="shared" si="12"/>
        <v>27274</v>
      </c>
      <c r="BE25" s="27">
        <f t="shared" si="27"/>
        <v>33396</v>
      </c>
      <c r="BF25" s="27">
        <f t="shared" si="27"/>
        <v>22264</v>
      </c>
      <c r="BG25" s="27">
        <f t="shared" si="28"/>
        <v>55660</v>
      </c>
      <c r="BH25" s="27">
        <f t="shared" si="13"/>
        <v>1043269</v>
      </c>
      <c r="BI25" s="27">
        <f t="shared" si="13"/>
        <v>966370</v>
      </c>
      <c r="BJ25" s="27">
        <f t="shared" si="23"/>
        <v>2009639</v>
      </c>
      <c r="BK25" s="27">
        <f t="shared" si="24"/>
        <v>1043269</v>
      </c>
      <c r="BL25" s="27">
        <f t="shared" si="24"/>
        <v>966370</v>
      </c>
      <c r="BM25" s="27">
        <f t="shared" si="25"/>
        <v>2009639</v>
      </c>
    </row>
    <row r="26" spans="1:65" ht="18.75" customHeight="1">
      <c r="A26" s="25">
        <v>21</v>
      </c>
      <c r="B26" s="26" t="s">
        <v>74</v>
      </c>
      <c r="C26" s="27"/>
      <c r="D26" s="27"/>
      <c r="E26" s="27"/>
      <c r="F26" s="27"/>
      <c r="G26" s="27"/>
      <c r="H26" s="27">
        <f t="shared" si="1"/>
        <v>0</v>
      </c>
      <c r="I26" s="27"/>
      <c r="J26" s="27"/>
      <c r="K26" s="27">
        <f t="shared" si="2"/>
        <v>0</v>
      </c>
      <c r="L26" s="27"/>
      <c r="M26" s="27"/>
      <c r="N26" s="27">
        <f t="shared" si="3"/>
        <v>0</v>
      </c>
      <c r="O26" s="27"/>
      <c r="P26" s="27"/>
      <c r="Q26" s="27">
        <f t="shared" si="4"/>
        <v>0</v>
      </c>
      <c r="R26" s="27"/>
      <c r="S26" s="27"/>
      <c r="T26" s="27">
        <f t="shared" si="5"/>
        <v>0</v>
      </c>
      <c r="U26" s="27">
        <f t="shared" si="14"/>
        <v>0</v>
      </c>
      <c r="V26" s="27">
        <f t="shared" si="14"/>
        <v>0</v>
      </c>
      <c r="W26" s="27">
        <f t="shared" si="15"/>
        <v>0</v>
      </c>
      <c r="X26" s="27"/>
      <c r="Y26" s="27"/>
      <c r="Z26" s="27">
        <f t="shared" si="6"/>
        <v>0</v>
      </c>
      <c r="AA26" s="27"/>
      <c r="AB26" s="27"/>
      <c r="AC26" s="27">
        <f t="shared" si="7"/>
        <v>0</v>
      </c>
      <c r="AD26" s="27"/>
      <c r="AE26" s="27"/>
      <c r="AF26" s="27">
        <f t="shared" si="8"/>
        <v>0</v>
      </c>
      <c r="AG26" s="27">
        <f t="shared" si="16"/>
        <v>0</v>
      </c>
      <c r="AH26" s="27">
        <f t="shared" si="16"/>
        <v>0</v>
      </c>
      <c r="AI26" s="27">
        <f t="shared" si="17"/>
        <v>0</v>
      </c>
      <c r="AJ26" s="27">
        <f t="shared" si="18"/>
        <v>0</v>
      </c>
      <c r="AK26" s="27">
        <f t="shared" si="18"/>
        <v>0</v>
      </c>
      <c r="AL26" s="27">
        <f t="shared" si="19"/>
        <v>0</v>
      </c>
      <c r="AM26" s="27"/>
      <c r="AN26" s="27"/>
      <c r="AO26" s="27">
        <f t="shared" si="9"/>
        <v>0</v>
      </c>
      <c r="AP26" s="27"/>
      <c r="AQ26" s="27"/>
      <c r="AR26" s="27">
        <f t="shared" si="10"/>
        <v>0</v>
      </c>
      <c r="AS26" s="27">
        <f t="shared" si="11"/>
        <v>0</v>
      </c>
      <c r="AT26" s="27">
        <f t="shared" si="11"/>
        <v>0</v>
      </c>
      <c r="AU26" s="27">
        <f t="shared" si="20"/>
        <v>0</v>
      </c>
      <c r="AV26" s="27">
        <f t="shared" si="21"/>
        <v>0</v>
      </c>
      <c r="AW26" s="27">
        <f t="shared" si="21"/>
        <v>0</v>
      </c>
      <c r="AX26" s="27">
        <f t="shared" si="22"/>
        <v>0</v>
      </c>
      <c r="AY26" s="27"/>
      <c r="AZ26" s="27"/>
      <c r="BA26" s="27">
        <f t="shared" si="26"/>
        <v>0</v>
      </c>
      <c r="BB26" s="27"/>
      <c r="BC26" s="27"/>
      <c r="BD26" s="27">
        <f t="shared" si="12"/>
        <v>0</v>
      </c>
      <c r="BE26" s="27">
        <f t="shared" si="27"/>
        <v>0</v>
      </c>
      <c r="BF26" s="27">
        <f t="shared" si="27"/>
        <v>0</v>
      </c>
      <c r="BG26" s="27">
        <f t="shared" si="28"/>
        <v>0</v>
      </c>
      <c r="BH26" s="27">
        <f t="shared" si="13"/>
        <v>0</v>
      </c>
      <c r="BI26" s="27">
        <f t="shared" si="13"/>
        <v>0</v>
      </c>
      <c r="BJ26" s="27">
        <f t="shared" si="23"/>
        <v>0</v>
      </c>
      <c r="BK26" s="27">
        <f t="shared" si="24"/>
        <v>0</v>
      </c>
      <c r="BL26" s="27">
        <f t="shared" si="24"/>
        <v>0</v>
      </c>
      <c r="BM26" s="27">
        <f t="shared" si="25"/>
        <v>0</v>
      </c>
    </row>
    <row r="27" spans="1:65" ht="18.75" customHeight="1">
      <c r="A27" s="25">
        <v>22</v>
      </c>
      <c r="B27" s="26" t="s">
        <v>32</v>
      </c>
      <c r="C27" s="27">
        <v>36674</v>
      </c>
      <c r="D27" s="27">
        <v>23524</v>
      </c>
      <c r="E27" s="27">
        <f t="shared" si="0"/>
        <v>60198</v>
      </c>
      <c r="F27" s="27">
        <v>186195</v>
      </c>
      <c r="G27" s="27">
        <v>166702</v>
      </c>
      <c r="H27" s="27">
        <f t="shared" si="1"/>
        <v>352897</v>
      </c>
      <c r="I27" s="27">
        <v>176091</v>
      </c>
      <c r="J27" s="27">
        <v>158803</v>
      </c>
      <c r="K27" s="27">
        <f t="shared" si="2"/>
        <v>334894</v>
      </c>
      <c r="L27" s="27">
        <v>147493</v>
      </c>
      <c r="M27" s="27">
        <v>129598</v>
      </c>
      <c r="N27" s="27">
        <f t="shared" si="3"/>
        <v>277091</v>
      </c>
      <c r="O27" s="27">
        <v>130508</v>
      </c>
      <c r="P27" s="27">
        <v>110035</v>
      </c>
      <c r="Q27" s="27">
        <f t="shared" si="4"/>
        <v>240543</v>
      </c>
      <c r="R27" s="27">
        <v>124817</v>
      </c>
      <c r="S27" s="27">
        <v>106445</v>
      </c>
      <c r="T27" s="27">
        <f t="shared" si="5"/>
        <v>231262</v>
      </c>
      <c r="U27" s="27">
        <f t="shared" si="14"/>
        <v>765104</v>
      </c>
      <c r="V27" s="27">
        <f t="shared" si="14"/>
        <v>671583</v>
      </c>
      <c r="W27" s="27">
        <f t="shared" si="15"/>
        <v>1436687</v>
      </c>
      <c r="X27" s="27">
        <v>103309</v>
      </c>
      <c r="Y27" s="27">
        <v>82864</v>
      </c>
      <c r="Z27" s="27">
        <f t="shared" si="6"/>
        <v>186173</v>
      </c>
      <c r="AA27" s="27">
        <v>97646</v>
      </c>
      <c r="AB27" s="27">
        <v>74993</v>
      </c>
      <c r="AC27" s="27">
        <f t="shared" si="7"/>
        <v>172639</v>
      </c>
      <c r="AD27" s="27">
        <v>86466</v>
      </c>
      <c r="AE27" s="27">
        <v>67341</v>
      </c>
      <c r="AF27" s="27">
        <f t="shared" si="8"/>
        <v>153807</v>
      </c>
      <c r="AG27" s="27">
        <f t="shared" si="16"/>
        <v>287421</v>
      </c>
      <c r="AH27" s="27">
        <f t="shared" si="16"/>
        <v>225198</v>
      </c>
      <c r="AI27" s="27">
        <f t="shared" si="17"/>
        <v>512619</v>
      </c>
      <c r="AJ27" s="27">
        <f t="shared" si="18"/>
        <v>1052525</v>
      </c>
      <c r="AK27" s="27">
        <f t="shared" si="18"/>
        <v>896781</v>
      </c>
      <c r="AL27" s="27">
        <f t="shared" si="19"/>
        <v>1949306</v>
      </c>
      <c r="AM27" s="27">
        <v>87489</v>
      </c>
      <c r="AN27" s="27">
        <v>61239</v>
      </c>
      <c r="AO27" s="27">
        <f t="shared" si="9"/>
        <v>148728</v>
      </c>
      <c r="AP27" s="27">
        <v>72170</v>
      </c>
      <c r="AQ27" s="27">
        <v>50781</v>
      </c>
      <c r="AR27" s="27">
        <f t="shared" si="10"/>
        <v>122951</v>
      </c>
      <c r="AS27" s="27">
        <f t="shared" si="11"/>
        <v>159659</v>
      </c>
      <c r="AT27" s="27">
        <f t="shared" si="11"/>
        <v>112020</v>
      </c>
      <c r="AU27" s="27">
        <f t="shared" si="20"/>
        <v>271679</v>
      </c>
      <c r="AV27" s="27">
        <f t="shared" si="21"/>
        <v>1212184</v>
      </c>
      <c r="AW27" s="27">
        <f t="shared" si="21"/>
        <v>1008801</v>
      </c>
      <c r="AX27" s="27">
        <f t="shared" si="22"/>
        <v>2220985</v>
      </c>
      <c r="AY27" s="27">
        <v>46074</v>
      </c>
      <c r="AZ27" s="27">
        <v>28132</v>
      </c>
      <c r="BA27" s="27">
        <f t="shared" si="26"/>
        <v>74206</v>
      </c>
      <c r="BB27" s="27">
        <v>45927</v>
      </c>
      <c r="BC27" s="27">
        <v>25056</v>
      </c>
      <c r="BD27" s="27">
        <f t="shared" si="12"/>
        <v>70983</v>
      </c>
      <c r="BE27" s="27">
        <f t="shared" si="27"/>
        <v>92001</v>
      </c>
      <c r="BF27" s="27">
        <f t="shared" si="27"/>
        <v>53188</v>
      </c>
      <c r="BG27" s="27">
        <f t="shared" si="28"/>
        <v>145189</v>
      </c>
      <c r="BH27" s="27">
        <f t="shared" si="13"/>
        <v>1304185</v>
      </c>
      <c r="BI27" s="27">
        <f t="shared" si="13"/>
        <v>1061989</v>
      </c>
      <c r="BJ27" s="27">
        <f t="shared" si="23"/>
        <v>2366174</v>
      </c>
      <c r="BK27" s="27">
        <f t="shared" si="24"/>
        <v>1340859</v>
      </c>
      <c r="BL27" s="27">
        <f t="shared" si="24"/>
        <v>1085513</v>
      </c>
      <c r="BM27" s="27">
        <f t="shared" si="25"/>
        <v>2426372</v>
      </c>
    </row>
    <row r="28" spans="1:65" ht="18.75" customHeight="1">
      <c r="A28" s="25">
        <v>23</v>
      </c>
      <c r="B28" s="26" t="s">
        <v>33</v>
      </c>
      <c r="C28" s="27"/>
      <c r="D28" s="27"/>
      <c r="E28" s="27"/>
      <c r="F28" s="27">
        <v>2739</v>
      </c>
      <c r="G28" s="27">
        <v>2635</v>
      </c>
      <c r="H28" s="27">
        <f t="shared" si="1"/>
        <v>5374</v>
      </c>
      <c r="I28" s="27">
        <v>3538</v>
      </c>
      <c r="J28" s="27">
        <v>3339</v>
      </c>
      <c r="K28" s="27">
        <f t="shared" si="2"/>
        <v>6877</v>
      </c>
      <c r="L28" s="27">
        <v>2765</v>
      </c>
      <c r="M28" s="27">
        <v>2789</v>
      </c>
      <c r="N28" s="27">
        <f t="shared" si="3"/>
        <v>5554</v>
      </c>
      <c r="O28" s="27">
        <v>2757</v>
      </c>
      <c r="P28" s="27">
        <v>2957</v>
      </c>
      <c r="Q28" s="27">
        <f t="shared" si="4"/>
        <v>5714</v>
      </c>
      <c r="R28" s="27">
        <v>2712</v>
      </c>
      <c r="S28" s="27">
        <v>3072</v>
      </c>
      <c r="T28" s="27">
        <f t="shared" si="5"/>
        <v>5784</v>
      </c>
      <c r="U28" s="27">
        <f t="shared" si="14"/>
        <v>14511</v>
      </c>
      <c r="V28" s="27">
        <f t="shared" si="14"/>
        <v>14792</v>
      </c>
      <c r="W28" s="27">
        <f t="shared" si="15"/>
        <v>29303</v>
      </c>
      <c r="X28" s="27">
        <v>2407</v>
      </c>
      <c r="Y28" s="27">
        <v>3018</v>
      </c>
      <c r="Z28" s="27">
        <f t="shared" si="6"/>
        <v>5425</v>
      </c>
      <c r="AA28" s="27">
        <v>2045</v>
      </c>
      <c r="AB28" s="27">
        <v>2663</v>
      </c>
      <c r="AC28" s="27">
        <f t="shared" si="7"/>
        <v>4708</v>
      </c>
      <c r="AD28" s="27">
        <v>1817</v>
      </c>
      <c r="AE28" s="27">
        <v>2367</v>
      </c>
      <c r="AF28" s="27">
        <f t="shared" si="8"/>
        <v>4184</v>
      </c>
      <c r="AG28" s="27">
        <f t="shared" si="16"/>
        <v>6269</v>
      </c>
      <c r="AH28" s="27">
        <f t="shared" si="16"/>
        <v>8048</v>
      </c>
      <c r="AI28" s="27">
        <f t="shared" si="17"/>
        <v>14317</v>
      </c>
      <c r="AJ28" s="27">
        <f t="shared" si="18"/>
        <v>20780</v>
      </c>
      <c r="AK28" s="27">
        <f t="shared" si="18"/>
        <v>22840</v>
      </c>
      <c r="AL28" s="27">
        <f t="shared" si="19"/>
        <v>43620</v>
      </c>
      <c r="AM28" s="27">
        <v>1484</v>
      </c>
      <c r="AN28" s="27">
        <v>1932</v>
      </c>
      <c r="AO28" s="27">
        <f t="shared" si="9"/>
        <v>3416</v>
      </c>
      <c r="AP28" s="27">
        <v>1215</v>
      </c>
      <c r="AQ28" s="27">
        <v>1487</v>
      </c>
      <c r="AR28" s="27">
        <f t="shared" si="10"/>
        <v>2702</v>
      </c>
      <c r="AS28" s="27">
        <f t="shared" si="11"/>
        <v>2699</v>
      </c>
      <c r="AT28" s="27">
        <f t="shared" si="11"/>
        <v>3419</v>
      </c>
      <c r="AU28" s="27">
        <f t="shared" si="20"/>
        <v>6118</v>
      </c>
      <c r="AV28" s="27">
        <f t="shared" si="21"/>
        <v>23479</v>
      </c>
      <c r="AW28" s="27">
        <f t="shared" si="21"/>
        <v>26259</v>
      </c>
      <c r="AX28" s="27">
        <f t="shared" si="22"/>
        <v>49738</v>
      </c>
      <c r="AY28" s="27">
        <v>923</v>
      </c>
      <c r="AZ28" s="27">
        <v>1193</v>
      </c>
      <c r="BA28" s="27">
        <f t="shared" si="26"/>
        <v>2116</v>
      </c>
      <c r="BB28" s="27">
        <v>681</v>
      </c>
      <c r="BC28" s="27">
        <v>957</v>
      </c>
      <c r="BD28" s="27">
        <f t="shared" si="12"/>
        <v>1638</v>
      </c>
      <c r="BE28" s="27">
        <f t="shared" si="27"/>
        <v>1604</v>
      </c>
      <c r="BF28" s="27">
        <f t="shared" si="27"/>
        <v>2150</v>
      </c>
      <c r="BG28" s="27">
        <f t="shared" si="28"/>
        <v>3754</v>
      </c>
      <c r="BH28" s="27">
        <f t="shared" si="13"/>
        <v>25083</v>
      </c>
      <c r="BI28" s="27">
        <f t="shared" si="13"/>
        <v>28409</v>
      </c>
      <c r="BJ28" s="27">
        <f t="shared" si="23"/>
        <v>53492</v>
      </c>
      <c r="BK28" s="27">
        <f t="shared" si="24"/>
        <v>25083</v>
      </c>
      <c r="BL28" s="27">
        <f t="shared" si="24"/>
        <v>28409</v>
      </c>
      <c r="BM28" s="27">
        <f t="shared" si="25"/>
        <v>53492</v>
      </c>
    </row>
    <row r="29" spans="1:65" ht="18.75" customHeight="1">
      <c r="A29" s="25">
        <v>24</v>
      </c>
      <c r="B29" s="26" t="s">
        <v>34</v>
      </c>
      <c r="C29" s="27">
        <f>2888+7893</f>
        <v>10781</v>
      </c>
      <c r="D29" s="27">
        <f>2837+5985</f>
        <v>8822</v>
      </c>
      <c r="E29" s="27">
        <f t="shared" si="0"/>
        <v>19603</v>
      </c>
      <c r="F29" s="27">
        <f>12788+2027</f>
        <v>14815</v>
      </c>
      <c r="G29" s="27">
        <f>11456+2025</f>
        <v>13481</v>
      </c>
      <c r="H29" s="27">
        <f t="shared" si="1"/>
        <v>28296</v>
      </c>
      <c r="I29" s="27">
        <f>11974+2723</f>
        <v>14697</v>
      </c>
      <c r="J29" s="27">
        <f>11063+2813</f>
        <v>13876</v>
      </c>
      <c r="K29" s="27">
        <f t="shared" si="2"/>
        <v>28573</v>
      </c>
      <c r="L29" s="27">
        <f>11554+3765</f>
        <v>15319</v>
      </c>
      <c r="M29" s="27">
        <f>10858+3906</f>
        <v>14764</v>
      </c>
      <c r="N29" s="27">
        <f t="shared" si="3"/>
        <v>30083</v>
      </c>
      <c r="O29" s="27">
        <f>11693+2437</f>
        <v>14130</v>
      </c>
      <c r="P29" s="27">
        <f>10573+3368</f>
        <v>13941</v>
      </c>
      <c r="Q29" s="27">
        <f t="shared" si="4"/>
        <v>28071</v>
      </c>
      <c r="R29" s="27">
        <f>11400+2672</f>
        <v>14072</v>
      </c>
      <c r="S29" s="27">
        <f>10573+2608</f>
        <v>13181</v>
      </c>
      <c r="T29" s="27">
        <f t="shared" si="5"/>
        <v>27253</v>
      </c>
      <c r="U29" s="27">
        <f t="shared" si="14"/>
        <v>73033</v>
      </c>
      <c r="V29" s="27">
        <f t="shared" si="14"/>
        <v>69243</v>
      </c>
      <c r="W29" s="27">
        <f t="shared" si="15"/>
        <v>142276</v>
      </c>
      <c r="X29" s="27">
        <f>10273+1466</f>
        <v>11739</v>
      </c>
      <c r="Y29" s="27">
        <f>9692+1207</f>
        <v>10899</v>
      </c>
      <c r="Z29" s="27">
        <f t="shared" si="6"/>
        <v>22638</v>
      </c>
      <c r="AA29" s="27">
        <f>8895+1713</f>
        <v>10608</v>
      </c>
      <c r="AB29" s="27">
        <f>8273+1703</f>
        <v>9976</v>
      </c>
      <c r="AC29" s="27">
        <f t="shared" si="7"/>
        <v>20584</v>
      </c>
      <c r="AD29" s="27">
        <f>8580+1768</f>
        <v>10348</v>
      </c>
      <c r="AE29" s="27">
        <f>7756+2024</f>
        <v>9780</v>
      </c>
      <c r="AF29" s="27">
        <f t="shared" si="8"/>
        <v>20128</v>
      </c>
      <c r="AG29" s="27">
        <f t="shared" si="16"/>
        <v>32695</v>
      </c>
      <c r="AH29" s="27">
        <f t="shared" si="16"/>
        <v>30655</v>
      </c>
      <c r="AI29" s="27">
        <f t="shared" si="17"/>
        <v>63350</v>
      </c>
      <c r="AJ29" s="27">
        <f t="shared" si="18"/>
        <v>105728</v>
      </c>
      <c r="AK29" s="27">
        <f t="shared" si="18"/>
        <v>99898</v>
      </c>
      <c r="AL29" s="27">
        <f t="shared" si="19"/>
        <v>205626</v>
      </c>
      <c r="AM29" s="27">
        <v>6057</v>
      </c>
      <c r="AN29" s="27">
        <v>5217</v>
      </c>
      <c r="AO29" s="27">
        <f t="shared" si="9"/>
        <v>11274</v>
      </c>
      <c r="AP29" s="27">
        <v>4252</v>
      </c>
      <c r="AQ29" s="27">
        <v>4065</v>
      </c>
      <c r="AR29" s="27">
        <f t="shared" si="10"/>
        <v>8317</v>
      </c>
      <c r="AS29" s="27">
        <f t="shared" si="11"/>
        <v>10309</v>
      </c>
      <c r="AT29" s="27">
        <f t="shared" si="11"/>
        <v>9282</v>
      </c>
      <c r="AU29" s="27">
        <f t="shared" si="20"/>
        <v>19591</v>
      </c>
      <c r="AV29" s="27">
        <f t="shared" si="21"/>
        <v>116037</v>
      </c>
      <c r="AW29" s="27">
        <f t="shared" si="21"/>
        <v>109180</v>
      </c>
      <c r="AX29" s="27">
        <f t="shared" si="22"/>
        <v>225217</v>
      </c>
      <c r="AY29" s="27">
        <v>2593</v>
      </c>
      <c r="AZ29" s="27">
        <v>2601</v>
      </c>
      <c r="BA29" s="27">
        <f t="shared" si="26"/>
        <v>5194</v>
      </c>
      <c r="BB29" s="27">
        <v>2393</v>
      </c>
      <c r="BC29" s="27">
        <v>2521</v>
      </c>
      <c r="BD29" s="27">
        <f t="shared" si="12"/>
        <v>4914</v>
      </c>
      <c r="BE29" s="27">
        <f t="shared" si="27"/>
        <v>4986</v>
      </c>
      <c r="BF29" s="27">
        <f t="shared" si="27"/>
        <v>5122</v>
      </c>
      <c r="BG29" s="27">
        <f t="shared" si="28"/>
        <v>10108</v>
      </c>
      <c r="BH29" s="27">
        <f t="shared" si="13"/>
        <v>121023</v>
      </c>
      <c r="BI29" s="27">
        <f t="shared" si="13"/>
        <v>114302</v>
      </c>
      <c r="BJ29" s="27">
        <f t="shared" si="23"/>
        <v>235325</v>
      </c>
      <c r="BK29" s="27">
        <f t="shared" si="24"/>
        <v>131804</v>
      </c>
      <c r="BL29" s="27">
        <f t="shared" si="24"/>
        <v>123124</v>
      </c>
      <c r="BM29" s="27">
        <f t="shared" si="25"/>
        <v>254928</v>
      </c>
    </row>
    <row r="30" spans="1:65" ht="18.75" customHeight="1">
      <c r="A30" s="25">
        <v>25</v>
      </c>
      <c r="B30" s="26" t="s">
        <v>198</v>
      </c>
      <c r="C30" s="27">
        <v>1091</v>
      </c>
      <c r="D30" s="27">
        <v>959</v>
      </c>
      <c r="E30" s="27">
        <f t="shared" si="0"/>
        <v>2050</v>
      </c>
      <c r="F30" s="27">
        <v>17879</v>
      </c>
      <c r="G30" s="27">
        <v>17288</v>
      </c>
      <c r="H30" s="27">
        <f t="shared" si="1"/>
        <v>35167</v>
      </c>
      <c r="I30" s="27">
        <v>16515</v>
      </c>
      <c r="J30" s="27">
        <v>15771</v>
      </c>
      <c r="K30" s="27">
        <f t="shared" si="2"/>
        <v>32286</v>
      </c>
      <c r="L30" s="27">
        <v>16052</v>
      </c>
      <c r="M30" s="27">
        <v>15374</v>
      </c>
      <c r="N30" s="27">
        <f t="shared" si="3"/>
        <v>31426</v>
      </c>
      <c r="O30" s="27">
        <v>14486</v>
      </c>
      <c r="P30" s="27">
        <v>13925</v>
      </c>
      <c r="Q30" s="27">
        <f t="shared" si="4"/>
        <v>28411</v>
      </c>
      <c r="R30" s="27">
        <v>14911</v>
      </c>
      <c r="S30" s="27">
        <v>13787</v>
      </c>
      <c r="T30" s="27">
        <f t="shared" si="5"/>
        <v>28698</v>
      </c>
      <c r="U30" s="27">
        <f t="shared" si="14"/>
        <v>79843</v>
      </c>
      <c r="V30" s="27">
        <f t="shared" si="14"/>
        <v>76145</v>
      </c>
      <c r="W30" s="27">
        <f t="shared" si="15"/>
        <v>155988</v>
      </c>
      <c r="X30" s="27">
        <v>13617</v>
      </c>
      <c r="Y30" s="27">
        <v>12285</v>
      </c>
      <c r="Z30" s="27">
        <f t="shared" si="6"/>
        <v>25902</v>
      </c>
      <c r="AA30" s="27">
        <v>14725</v>
      </c>
      <c r="AB30" s="27">
        <v>12929</v>
      </c>
      <c r="AC30" s="27">
        <f t="shared" si="7"/>
        <v>27654</v>
      </c>
      <c r="AD30" s="27">
        <v>12103</v>
      </c>
      <c r="AE30" s="27">
        <v>10615</v>
      </c>
      <c r="AF30" s="27">
        <f t="shared" si="8"/>
        <v>22718</v>
      </c>
      <c r="AG30" s="27">
        <f t="shared" si="16"/>
        <v>40445</v>
      </c>
      <c r="AH30" s="27">
        <f t="shared" si="16"/>
        <v>35829</v>
      </c>
      <c r="AI30" s="27">
        <f t="shared" si="17"/>
        <v>76274</v>
      </c>
      <c r="AJ30" s="27">
        <f t="shared" si="18"/>
        <v>120288</v>
      </c>
      <c r="AK30" s="27">
        <f t="shared" si="18"/>
        <v>111974</v>
      </c>
      <c r="AL30" s="27">
        <f t="shared" si="19"/>
        <v>232262</v>
      </c>
      <c r="AM30" s="27">
        <v>13169</v>
      </c>
      <c r="AN30" s="27">
        <v>11166</v>
      </c>
      <c r="AO30" s="27">
        <f t="shared" si="9"/>
        <v>24335</v>
      </c>
      <c r="AP30" s="27">
        <v>8915</v>
      </c>
      <c r="AQ30" s="27">
        <v>7920</v>
      </c>
      <c r="AR30" s="27">
        <f t="shared" si="10"/>
        <v>16835</v>
      </c>
      <c r="AS30" s="27">
        <f t="shared" si="11"/>
        <v>22084</v>
      </c>
      <c r="AT30" s="27">
        <f t="shared" si="11"/>
        <v>19086</v>
      </c>
      <c r="AU30" s="27">
        <f t="shared" si="20"/>
        <v>41170</v>
      </c>
      <c r="AV30" s="27">
        <f t="shared" si="21"/>
        <v>142372</v>
      </c>
      <c r="AW30" s="27">
        <f t="shared" si="21"/>
        <v>131060</v>
      </c>
      <c r="AX30" s="27">
        <f t="shared" si="22"/>
        <v>273432</v>
      </c>
      <c r="AY30" s="27">
        <v>2869</v>
      </c>
      <c r="AZ30" s="27">
        <v>1922</v>
      </c>
      <c r="BA30" s="27">
        <f t="shared" si="26"/>
        <v>4791</v>
      </c>
      <c r="BB30" s="27">
        <v>2809</v>
      </c>
      <c r="BC30" s="27">
        <v>1867</v>
      </c>
      <c r="BD30" s="27">
        <f t="shared" si="12"/>
        <v>4676</v>
      </c>
      <c r="BE30" s="27">
        <f t="shared" si="27"/>
        <v>5678</v>
      </c>
      <c r="BF30" s="27">
        <f t="shared" si="27"/>
        <v>3789</v>
      </c>
      <c r="BG30" s="27">
        <f t="shared" si="28"/>
        <v>9467</v>
      </c>
      <c r="BH30" s="27">
        <f t="shared" si="13"/>
        <v>148050</v>
      </c>
      <c r="BI30" s="27">
        <f t="shared" si="13"/>
        <v>134849</v>
      </c>
      <c r="BJ30" s="27">
        <f t="shared" si="23"/>
        <v>282899</v>
      </c>
      <c r="BK30" s="27">
        <f t="shared" si="24"/>
        <v>149141</v>
      </c>
      <c r="BL30" s="27">
        <f t="shared" si="24"/>
        <v>135808</v>
      </c>
      <c r="BM30" s="27">
        <f t="shared" si="25"/>
        <v>284949</v>
      </c>
    </row>
    <row r="31" spans="1:65" ht="18.75" customHeight="1">
      <c r="A31" s="25">
        <v>26</v>
      </c>
      <c r="B31" s="26" t="s">
        <v>36</v>
      </c>
      <c r="C31" s="27"/>
      <c r="D31" s="27"/>
      <c r="E31" s="27"/>
      <c r="F31" s="27">
        <v>23321</v>
      </c>
      <c r="G31" s="27">
        <v>21700</v>
      </c>
      <c r="H31" s="27">
        <f t="shared" si="1"/>
        <v>45021</v>
      </c>
      <c r="I31" s="27">
        <v>21875</v>
      </c>
      <c r="J31" s="27">
        <v>20354</v>
      </c>
      <c r="K31" s="27">
        <f t="shared" si="2"/>
        <v>42229</v>
      </c>
      <c r="L31" s="27">
        <v>21770</v>
      </c>
      <c r="M31" s="27">
        <v>20256</v>
      </c>
      <c r="N31" s="27">
        <f t="shared" si="3"/>
        <v>42026</v>
      </c>
      <c r="O31" s="27">
        <v>20389</v>
      </c>
      <c r="P31" s="27">
        <v>18972</v>
      </c>
      <c r="Q31" s="27">
        <f t="shared" si="4"/>
        <v>39361</v>
      </c>
      <c r="R31" s="27">
        <v>17774</v>
      </c>
      <c r="S31" s="27">
        <v>16538</v>
      </c>
      <c r="T31" s="27">
        <f t="shared" si="5"/>
        <v>34312</v>
      </c>
      <c r="U31" s="27">
        <f t="shared" si="14"/>
        <v>105129</v>
      </c>
      <c r="V31" s="27">
        <f t="shared" si="14"/>
        <v>97820</v>
      </c>
      <c r="W31" s="27">
        <f t="shared" si="15"/>
        <v>202949</v>
      </c>
      <c r="X31" s="27">
        <v>11606</v>
      </c>
      <c r="Y31" s="27">
        <v>11285</v>
      </c>
      <c r="Z31" s="27">
        <f t="shared" si="6"/>
        <v>22891</v>
      </c>
      <c r="AA31" s="27">
        <v>10735</v>
      </c>
      <c r="AB31" s="27">
        <v>10437</v>
      </c>
      <c r="AC31" s="27">
        <f t="shared" si="7"/>
        <v>21172</v>
      </c>
      <c r="AD31" s="27">
        <v>10599</v>
      </c>
      <c r="AE31" s="27">
        <v>10306</v>
      </c>
      <c r="AF31" s="27">
        <f t="shared" si="8"/>
        <v>20905</v>
      </c>
      <c r="AG31" s="27">
        <f t="shared" si="16"/>
        <v>32940</v>
      </c>
      <c r="AH31" s="27">
        <f t="shared" si="16"/>
        <v>32028</v>
      </c>
      <c r="AI31" s="27">
        <f t="shared" si="17"/>
        <v>64968</v>
      </c>
      <c r="AJ31" s="27">
        <f t="shared" si="18"/>
        <v>138069</v>
      </c>
      <c r="AK31" s="27">
        <f t="shared" si="18"/>
        <v>129848</v>
      </c>
      <c r="AL31" s="27">
        <f t="shared" si="19"/>
        <v>267917</v>
      </c>
      <c r="AM31" s="27">
        <v>10409</v>
      </c>
      <c r="AN31" s="27">
        <v>10120</v>
      </c>
      <c r="AO31" s="27">
        <f t="shared" si="9"/>
        <v>20529</v>
      </c>
      <c r="AP31" s="27">
        <v>10371</v>
      </c>
      <c r="AQ31" s="27">
        <v>10085</v>
      </c>
      <c r="AR31" s="27">
        <f t="shared" si="10"/>
        <v>20456</v>
      </c>
      <c r="AS31" s="27">
        <f t="shared" si="11"/>
        <v>20780</v>
      </c>
      <c r="AT31" s="27">
        <f t="shared" si="11"/>
        <v>20205</v>
      </c>
      <c r="AU31" s="27">
        <f t="shared" si="20"/>
        <v>40985</v>
      </c>
      <c r="AV31" s="27">
        <f t="shared" si="21"/>
        <v>158849</v>
      </c>
      <c r="AW31" s="27">
        <f t="shared" si="21"/>
        <v>150053</v>
      </c>
      <c r="AX31" s="27">
        <f t="shared" si="22"/>
        <v>308902</v>
      </c>
      <c r="AY31" s="27">
        <v>5957</v>
      </c>
      <c r="AZ31" s="27">
        <v>5792</v>
      </c>
      <c r="BA31" s="27">
        <f t="shared" si="26"/>
        <v>11749</v>
      </c>
      <c r="BB31" s="27">
        <v>5754</v>
      </c>
      <c r="BC31" s="27">
        <v>5594</v>
      </c>
      <c r="BD31" s="27">
        <f t="shared" si="12"/>
        <v>11348</v>
      </c>
      <c r="BE31" s="27">
        <f t="shared" si="27"/>
        <v>11711</v>
      </c>
      <c r="BF31" s="27">
        <f t="shared" si="27"/>
        <v>11386</v>
      </c>
      <c r="BG31" s="27">
        <f t="shared" si="28"/>
        <v>23097</v>
      </c>
      <c r="BH31" s="27">
        <f t="shared" si="13"/>
        <v>170560</v>
      </c>
      <c r="BI31" s="27">
        <f t="shared" si="13"/>
        <v>161439</v>
      </c>
      <c r="BJ31" s="27">
        <f t="shared" si="23"/>
        <v>331999</v>
      </c>
      <c r="BK31" s="27">
        <f t="shared" si="24"/>
        <v>170560</v>
      </c>
      <c r="BL31" s="27">
        <f t="shared" si="24"/>
        <v>161439</v>
      </c>
      <c r="BM31" s="27">
        <f t="shared" si="25"/>
        <v>331999</v>
      </c>
    </row>
    <row r="32" spans="1:65" ht="18.75" customHeight="1">
      <c r="A32" s="25">
        <v>27</v>
      </c>
      <c r="B32" s="26" t="s">
        <v>37</v>
      </c>
      <c r="C32" s="27"/>
      <c r="D32" s="27"/>
      <c r="E32" s="27"/>
      <c r="F32" s="27">
        <v>3200</v>
      </c>
      <c r="G32" s="27">
        <v>2945</v>
      </c>
      <c r="H32" s="27">
        <f t="shared" si="1"/>
        <v>6145</v>
      </c>
      <c r="I32" s="27">
        <v>3020</v>
      </c>
      <c r="J32" s="27">
        <v>2885</v>
      </c>
      <c r="K32" s="27">
        <f t="shared" si="2"/>
        <v>5905</v>
      </c>
      <c r="L32" s="27">
        <v>2854</v>
      </c>
      <c r="M32" s="27">
        <v>2858</v>
      </c>
      <c r="N32" s="27">
        <f t="shared" si="3"/>
        <v>5712</v>
      </c>
      <c r="O32" s="27">
        <v>2830</v>
      </c>
      <c r="P32" s="27">
        <v>2808</v>
      </c>
      <c r="Q32" s="27">
        <f t="shared" si="4"/>
        <v>5638</v>
      </c>
      <c r="R32" s="27">
        <v>2913</v>
      </c>
      <c r="S32" s="27">
        <v>2865</v>
      </c>
      <c r="T32" s="27">
        <f t="shared" si="5"/>
        <v>5778</v>
      </c>
      <c r="U32" s="27">
        <f t="shared" si="14"/>
        <v>14817</v>
      </c>
      <c r="V32" s="27">
        <f t="shared" si="14"/>
        <v>14361</v>
      </c>
      <c r="W32" s="27">
        <f t="shared" si="15"/>
        <v>29178</v>
      </c>
      <c r="X32" s="27">
        <v>2853</v>
      </c>
      <c r="Y32" s="27">
        <v>2963</v>
      </c>
      <c r="Z32" s="27">
        <f>X32+Y32</f>
        <v>5816</v>
      </c>
      <c r="AA32" s="27">
        <v>2794</v>
      </c>
      <c r="AB32" s="27">
        <v>2980</v>
      </c>
      <c r="AC32" s="27">
        <f t="shared" si="7"/>
        <v>5774</v>
      </c>
      <c r="AD32" s="27">
        <v>2971</v>
      </c>
      <c r="AE32" s="27">
        <v>2911</v>
      </c>
      <c r="AF32" s="27">
        <f t="shared" si="8"/>
        <v>5882</v>
      </c>
      <c r="AG32" s="27">
        <f t="shared" si="16"/>
        <v>8618</v>
      </c>
      <c r="AH32" s="27">
        <f t="shared" si="16"/>
        <v>8854</v>
      </c>
      <c r="AI32" s="27">
        <f t="shared" si="17"/>
        <v>17472</v>
      </c>
      <c r="AJ32" s="27">
        <f t="shared" si="18"/>
        <v>23435</v>
      </c>
      <c r="AK32" s="27">
        <f t="shared" si="18"/>
        <v>23215</v>
      </c>
      <c r="AL32" s="27">
        <f t="shared" si="19"/>
        <v>46650</v>
      </c>
      <c r="AM32" s="27">
        <v>3229</v>
      </c>
      <c r="AN32" s="27">
        <v>3385</v>
      </c>
      <c r="AO32" s="27">
        <f t="shared" si="9"/>
        <v>6614</v>
      </c>
      <c r="AP32" s="27">
        <v>3511</v>
      </c>
      <c r="AQ32" s="27">
        <v>3497</v>
      </c>
      <c r="AR32" s="27">
        <f t="shared" si="10"/>
        <v>7008</v>
      </c>
      <c r="AS32" s="27">
        <f t="shared" si="11"/>
        <v>6740</v>
      </c>
      <c r="AT32" s="27">
        <f t="shared" si="11"/>
        <v>6882</v>
      </c>
      <c r="AU32" s="27">
        <f t="shared" si="20"/>
        <v>13622</v>
      </c>
      <c r="AV32" s="27">
        <f t="shared" si="21"/>
        <v>30175</v>
      </c>
      <c r="AW32" s="27">
        <f t="shared" si="21"/>
        <v>30097</v>
      </c>
      <c r="AX32" s="27">
        <f t="shared" si="22"/>
        <v>60272</v>
      </c>
      <c r="AY32" s="27">
        <v>2443</v>
      </c>
      <c r="AZ32" s="27">
        <v>2364</v>
      </c>
      <c r="BA32" s="27">
        <f t="shared" si="26"/>
        <v>4807</v>
      </c>
      <c r="BB32" s="27">
        <v>2554</v>
      </c>
      <c r="BC32" s="27">
        <v>2572</v>
      </c>
      <c r="BD32" s="27">
        <f t="shared" si="12"/>
        <v>5126</v>
      </c>
      <c r="BE32" s="27">
        <f t="shared" si="27"/>
        <v>4997</v>
      </c>
      <c r="BF32" s="27">
        <f t="shared" si="27"/>
        <v>4936</v>
      </c>
      <c r="BG32" s="27">
        <f t="shared" si="28"/>
        <v>9933</v>
      </c>
      <c r="BH32" s="27">
        <f t="shared" si="13"/>
        <v>35172</v>
      </c>
      <c r="BI32" s="27">
        <f t="shared" si="13"/>
        <v>35033</v>
      </c>
      <c r="BJ32" s="27">
        <f t="shared" si="23"/>
        <v>70205</v>
      </c>
      <c r="BK32" s="27">
        <f t="shared" si="24"/>
        <v>35172</v>
      </c>
      <c r="BL32" s="27">
        <f t="shared" si="24"/>
        <v>35033</v>
      </c>
      <c r="BM32" s="27">
        <f t="shared" si="25"/>
        <v>70205</v>
      </c>
    </row>
    <row r="33" spans="1:65" ht="18.75" customHeight="1">
      <c r="A33" s="25">
        <v>28</v>
      </c>
      <c r="B33" s="26" t="s">
        <v>38</v>
      </c>
      <c r="C33" s="27"/>
      <c r="D33" s="27"/>
      <c r="E33" s="27"/>
      <c r="F33" s="27">
        <v>112280</v>
      </c>
      <c r="G33" s="27">
        <v>108484</v>
      </c>
      <c r="H33" s="27">
        <f t="shared" si="1"/>
        <v>220764</v>
      </c>
      <c r="I33" s="27">
        <v>74833</v>
      </c>
      <c r="J33" s="27">
        <v>73279</v>
      </c>
      <c r="K33" s="27">
        <f t="shared" si="2"/>
        <v>148112</v>
      </c>
      <c r="L33" s="27">
        <v>69146</v>
      </c>
      <c r="M33" s="27">
        <v>68121</v>
      </c>
      <c r="N33" s="27">
        <f t="shared" si="3"/>
        <v>137267</v>
      </c>
      <c r="O33" s="27">
        <v>69234</v>
      </c>
      <c r="P33" s="27">
        <v>67937</v>
      </c>
      <c r="Q33" s="27">
        <f t="shared" si="4"/>
        <v>137171</v>
      </c>
      <c r="R33" s="27">
        <v>59454</v>
      </c>
      <c r="S33" s="27">
        <v>58534</v>
      </c>
      <c r="T33" s="27">
        <f t="shared" si="5"/>
        <v>117988</v>
      </c>
      <c r="U33" s="27">
        <f t="shared" si="14"/>
        <v>384947</v>
      </c>
      <c r="V33" s="27">
        <f t="shared" si="14"/>
        <v>376355</v>
      </c>
      <c r="W33" s="27">
        <f t="shared" si="15"/>
        <v>761302</v>
      </c>
      <c r="X33" s="27">
        <v>52120</v>
      </c>
      <c r="Y33" s="27">
        <v>49877</v>
      </c>
      <c r="Z33" s="27">
        <f t="shared" si="6"/>
        <v>101997</v>
      </c>
      <c r="AA33" s="27">
        <v>47157</v>
      </c>
      <c r="AB33" s="27">
        <v>46519</v>
      </c>
      <c r="AC33" s="27">
        <f t="shared" si="7"/>
        <v>93676</v>
      </c>
      <c r="AD33" s="27">
        <v>41979</v>
      </c>
      <c r="AE33" s="27">
        <v>40887</v>
      </c>
      <c r="AF33" s="27">
        <f t="shared" si="8"/>
        <v>82866</v>
      </c>
      <c r="AG33" s="27">
        <f t="shared" si="16"/>
        <v>141256</v>
      </c>
      <c r="AH33" s="27">
        <f t="shared" si="16"/>
        <v>137283</v>
      </c>
      <c r="AI33" s="27">
        <f t="shared" si="17"/>
        <v>278539</v>
      </c>
      <c r="AJ33" s="27">
        <f t="shared" si="18"/>
        <v>526203</v>
      </c>
      <c r="AK33" s="27">
        <f t="shared" si="18"/>
        <v>513638</v>
      </c>
      <c r="AL33" s="27">
        <f t="shared" si="19"/>
        <v>1039841</v>
      </c>
      <c r="AM33" s="27">
        <v>34829</v>
      </c>
      <c r="AN33" s="27">
        <v>33350</v>
      </c>
      <c r="AO33" s="27">
        <f>AM33+AN33</f>
        <v>68179</v>
      </c>
      <c r="AP33" s="27">
        <v>27016</v>
      </c>
      <c r="AQ33" s="27">
        <v>24207</v>
      </c>
      <c r="AR33" s="27">
        <f t="shared" si="10"/>
        <v>51223</v>
      </c>
      <c r="AS33" s="27">
        <f t="shared" si="11"/>
        <v>61845</v>
      </c>
      <c r="AT33" s="27">
        <f t="shared" si="11"/>
        <v>57557</v>
      </c>
      <c r="AU33" s="27">
        <f t="shared" si="20"/>
        <v>119402</v>
      </c>
      <c r="AV33" s="27">
        <f t="shared" si="21"/>
        <v>588048</v>
      </c>
      <c r="AW33" s="27">
        <f t="shared" si="21"/>
        <v>571195</v>
      </c>
      <c r="AX33" s="27">
        <f t="shared" si="22"/>
        <v>1159243</v>
      </c>
      <c r="AY33" s="27">
        <v>19848</v>
      </c>
      <c r="AZ33" s="27">
        <v>14433</v>
      </c>
      <c r="BA33" s="27">
        <f t="shared" si="26"/>
        <v>34281</v>
      </c>
      <c r="BB33" s="27">
        <v>15917</v>
      </c>
      <c r="BC33" s="27">
        <v>11084</v>
      </c>
      <c r="BD33" s="27">
        <f t="shared" si="12"/>
        <v>27001</v>
      </c>
      <c r="BE33" s="27">
        <f t="shared" si="27"/>
        <v>35765</v>
      </c>
      <c r="BF33" s="27">
        <f t="shared" si="27"/>
        <v>25517</v>
      </c>
      <c r="BG33" s="27">
        <f t="shared" si="28"/>
        <v>61282</v>
      </c>
      <c r="BH33" s="27">
        <f t="shared" si="13"/>
        <v>623813</v>
      </c>
      <c r="BI33" s="27">
        <f t="shared" si="13"/>
        <v>596712</v>
      </c>
      <c r="BJ33" s="27">
        <f t="shared" si="23"/>
        <v>1220525</v>
      </c>
      <c r="BK33" s="27">
        <f t="shared" si="24"/>
        <v>623813</v>
      </c>
      <c r="BL33" s="27">
        <f t="shared" si="24"/>
        <v>596712</v>
      </c>
      <c r="BM33" s="27">
        <f t="shared" si="25"/>
        <v>1220525</v>
      </c>
    </row>
    <row r="34" spans="1:65" ht="18.75" customHeight="1">
      <c r="A34" s="25">
        <v>29</v>
      </c>
      <c r="B34" s="26" t="s">
        <v>39</v>
      </c>
      <c r="C34" s="27">
        <v>74</v>
      </c>
      <c r="D34" s="27">
        <v>77</v>
      </c>
      <c r="E34" s="27">
        <f t="shared" si="0"/>
        <v>151</v>
      </c>
      <c r="F34" s="27">
        <v>289</v>
      </c>
      <c r="G34" s="27">
        <v>268</v>
      </c>
      <c r="H34" s="27">
        <f t="shared" si="1"/>
        <v>557</v>
      </c>
      <c r="I34" s="27">
        <v>226</v>
      </c>
      <c r="J34" s="27">
        <v>219</v>
      </c>
      <c r="K34" s="27">
        <f t="shared" si="2"/>
        <v>445</v>
      </c>
      <c r="L34" s="27">
        <v>238</v>
      </c>
      <c r="M34" s="27">
        <v>239</v>
      </c>
      <c r="N34" s="27">
        <f t="shared" si="3"/>
        <v>477</v>
      </c>
      <c r="O34" s="27">
        <v>237</v>
      </c>
      <c r="P34" s="27">
        <v>226</v>
      </c>
      <c r="Q34" s="27">
        <f t="shared" si="4"/>
        <v>463</v>
      </c>
      <c r="R34" s="27">
        <v>267</v>
      </c>
      <c r="S34" s="27">
        <v>232</v>
      </c>
      <c r="T34" s="27">
        <f t="shared" si="5"/>
        <v>499</v>
      </c>
      <c r="U34" s="27">
        <f t="shared" si="14"/>
        <v>1257</v>
      </c>
      <c r="V34" s="27">
        <f t="shared" si="14"/>
        <v>1184</v>
      </c>
      <c r="W34" s="27">
        <f t="shared" si="15"/>
        <v>2441</v>
      </c>
      <c r="X34" s="27">
        <v>243</v>
      </c>
      <c r="Y34" s="27">
        <v>228</v>
      </c>
      <c r="Z34" s="27">
        <f t="shared" si="6"/>
        <v>471</v>
      </c>
      <c r="AA34" s="27">
        <v>264</v>
      </c>
      <c r="AB34" s="27">
        <v>249</v>
      </c>
      <c r="AC34" s="27">
        <f t="shared" si="7"/>
        <v>513</v>
      </c>
      <c r="AD34" s="27">
        <v>278</v>
      </c>
      <c r="AE34" s="27">
        <v>254</v>
      </c>
      <c r="AF34" s="27">
        <f t="shared" si="8"/>
        <v>532</v>
      </c>
      <c r="AG34" s="27">
        <f t="shared" si="16"/>
        <v>785</v>
      </c>
      <c r="AH34" s="27">
        <f t="shared" si="16"/>
        <v>731</v>
      </c>
      <c r="AI34" s="27">
        <f t="shared" si="17"/>
        <v>1516</v>
      </c>
      <c r="AJ34" s="27">
        <f t="shared" si="18"/>
        <v>2042</v>
      </c>
      <c r="AK34" s="27">
        <f t="shared" si="18"/>
        <v>1915</v>
      </c>
      <c r="AL34" s="27">
        <f t="shared" si="19"/>
        <v>3957</v>
      </c>
      <c r="AM34" s="27">
        <v>304</v>
      </c>
      <c r="AN34" s="27">
        <v>233</v>
      </c>
      <c r="AO34" s="27">
        <f t="shared" si="9"/>
        <v>537</v>
      </c>
      <c r="AP34" s="27">
        <v>251</v>
      </c>
      <c r="AQ34" s="27">
        <v>237</v>
      </c>
      <c r="AR34" s="27">
        <f t="shared" si="10"/>
        <v>488</v>
      </c>
      <c r="AS34" s="27">
        <f t="shared" si="11"/>
        <v>555</v>
      </c>
      <c r="AT34" s="27">
        <f t="shared" si="11"/>
        <v>470</v>
      </c>
      <c r="AU34" s="27">
        <f t="shared" si="20"/>
        <v>1025</v>
      </c>
      <c r="AV34" s="27">
        <f t="shared" si="21"/>
        <v>2597</v>
      </c>
      <c r="AW34" s="27">
        <f t="shared" si="21"/>
        <v>2385</v>
      </c>
      <c r="AX34" s="27">
        <f t="shared" si="22"/>
        <v>4982</v>
      </c>
      <c r="AY34" s="27">
        <v>228</v>
      </c>
      <c r="AZ34" s="27">
        <v>222</v>
      </c>
      <c r="BA34" s="27">
        <f t="shared" si="26"/>
        <v>450</v>
      </c>
      <c r="BB34" s="27">
        <v>128</v>
      </c>
      <c r="BC34" s="27">
        <v>151</v>
      </c>
      <c r="BD34" s="27">
        <f t="shared" si="12"/>
        <v>279</v>
      </c>
      <c r="BE34" s="27">
        <f t="shared" si="27"/>
        <v>356</v>
      </c>
      <c r="BF34" s="27">
        <f t="shared" si="27"/>
        <v>373</v>
      </c>
      <c r="BG34" s="27">
        <f t="shared" si="28"/>
        <v>729</v>
      </c>
      <c r="BH34" s="27">
        <f t="shared" si="13"/>
        <v>2953</v>
      </c>
      <c r="BI34" s="27">
        <f t="shared" si="13"/>
        <v>2758</v>
      </c>
      <c r="BJ34" s="27">
        <f t="shared" si="23"/>
        <v>5711</v>
      </c>
      <c r="BK34" s="27">
        <f t="shared" si="24"/>
        <v>3027</v>
      </c>
      <c r="BL34" s="27">
        <f t="shared" si="24"/>
        <v>2835</v>
      </c>
      <c r="BM34" s="27">
        <f t="shared" si="25"/>
        <v>5862</v>
      </c>
    </row>
    <row r="35" spans="1:65" ht="18.75" customHeight="1">
      <c r="A35" s="25">
        <v>30</v>
      </c>
      <c r="B35" s="26" t="s">
        <v>40</v>
      </c>
      <c r="C35" s="27">
        <v>34</v>
      </c>
      <c r="D35" s="27">
        <v>22</v>
      </c>
      <c r="E35" s="27">
        <f t="shared" si="0"/>
        <v>56</v>
      </c>
      <c r="F35" s="27">
        <v>12</v>
      </c>
      <c r="G35" s="27">
        <v>12</v>
      </c>
      <c r="H35" s="27">
        <f t="shared" si="1"/>
        <v>24</v>
      </c>
      <c r="I35" s="27">
        <v>13</v>
      </c>
      <c r="J35" s="27">
        <v>5</v>
      </c>
      <c r="K35" s="27">
        <f t="shared" si="2"/>
        <v>18</v>
      </c>
      <c r="L35" s="27">
        <v>21</v>
      </c>
      <c r="M35" s="27">
        <v>18</v>
      </c>
      <c r="N35" s="27">
        <f t="shared" si="3"/>
        <v>39</v>
      </c>
      <c r="O35" s="27">
        <v>15</v>
      </c>
      <c r="P35" s="27">
        <v>13</v>
      </c>
      <c r="Q35" s="27">
        <f t="shared" si="4"/>
        <v>28</v>
      </c>
      <c r="R35" s="27">
        <v>20</v>
      </c>
      <c r="S35" s="27">
        <v>13</v>
      </c>
      <c r="T35" s="27">
        <f t="shared" si="5"/>
        <v>33</v>
      </c>
      <c r="U35" s="27">
        <f t="shared" si="14"/>
        <v>81</v>
      </c>
      <c r="V35" s="27">
        <f t="shared" si="14"/>
        <v>61</v>
      </c>
      <c r="W35" s="27">
        <f t="shared" si="15"/>
        <v>142</v>
      </c>
      <c r="X35" s="27">
        <v>19</v>
      </c>
      <c r="Y35" s="27">
        <v>7</v>
      </c>
      <c r="Z35" s="27">
        <f t="shared" si="6"/>
        <v>26</v>
      </c>
      <c r="AA35" s="27">
        <v>11</v>
      </c>
      <c r="AB35" s="27">
        <v>9</v>
      </c>
      <c r="AC35" s="27">
        <f t="shared" si="7"/>
        <v>20</v>
      </c>
      <c r="AD35" s="27">
        <v>14</v>
      </c>
      <c r="AE35" s="27">
        <v>8</v>
      </c>
      <c r="AF35" s="27">
        <f t="shared" si="8"/>
        <v>22</v>
      </c>
      <c r="AG35" s="27">
        <f t="shared" si="16"/>
        <v>44</v>
      </c>
      <c r="AH35" s="27">
        <f t="shared" si="16"/>
        <v>24</v>
      </c>
      <c r="AI35" s="27">
        <f t="shared" si="17"/>
        <v>68</v>
      </c>
      <c r="AJ35" s="27">
        <f t="shared" si="18"/>
        <v>125</v>
      </c>
      <c r="AK35" s="27">
        <f t="shared" si="18"/>
        <v>85</v>
      </c>
      <c r="AL35" s="27">
        <f t="shared" si="19"/>
        <v>210</v>
      </c>
      <c r="AM35" s="27">
        <v>19</v>
      </c>
      <c r="AN35" s="27">
        <v>14</v>
      </c>
      <c r="AO35" s="27">
        <f t="shared" si="9"/>
        <v>33</v>
      </c>
      <c r="AP35" s="27">
        <v>21</v>
      </c>
      <c r="AQ35" s="27">
        <v>15</v>
      </c>
      <c r="AR35" s="27">
        <f t="shared" si="10"/>
        <v>36</v>
      </c>
      <c r="AS35" s="27">
        <f t="shared" si="11"/>
        <v>40</v>
      </c>
      <c r="AT35" s="27">
        <f t="shared" si="11"/>
        <v>29</v>
      </c>
      <c r="AU35" s="27">
        <f t="shared" si="20"/>
        <v>69</v>
      </c>
      <c r="AV35" s="27">
        <f t="shared" si="21"/>
        <v>165</v>
      </c>
      <c r="AW35" s="27">
        <f t="shared" si="21"/>
        <v>114</v>
      </c>
      <c r="AX35" s="27">
        <f t="shared" si="22"/>
        <v>279</v>
      </c>
      <c r="AY35" s="27">
        <v>31</v>
      </c>
      <c r="AZ35" s="27">
        <v>39</v>
      </c>
      <c r="BA35" s="27">
        <f t="shared" si="26"/>
        <v>70</v>
      </c>
      <c r="BB35" s="27">
        <v>29</v>
      </c>
      <c r="BC35" s="27">
        <v>26</v>
      </c>
      <c r="BD35" s="27">
        <f t="shared" si="12"/>
        <v>55</v>
      </c>
      <c r="BE35" s="27">
        <f t="shared" si="27"/>
        <v>60</v>
      </c>
      <c r="BF35" s="27">
        <f t="shared" si="27"/>
        <v>65</v>
      </c>
      <c r="BG35" s="27">
        <f t="shared" si="28"/>
        <v>125</v>
      </c>
      <c r="BH35" s="27">
        <f t="shared" si="13"/>
        <v>225</v>
      </c>
      <c r="BI35" s="27">
        <f t="shared" si="13"/>
        <v>179</v>
      </c>
      <c r="BJ35" s="27">
        <f t="shared" si="23"/>
        <v>404</v>
      </c>
      <c r="BK35" s="27">
        <f t="shared" si="24"/>
        <v>259</v>
      </c>
      <c r="BL35" s="27">
        <f t="shared" si="24"/>
        <v>201</v>
      </c>
      <c r="BM35" s="27">
        <f t="shared" si="25"/>
        <v>460</v>
      </c>
    </row>
    <row r="36" spans="1:65" ht="18.75" customHeight="1">
      <c r="A36" s="25">
        <v>31</v>
      </c>
      <c r="B36" s="26" t="s">
        <v>41</v>
      </c>
      <c r="C36" s="27"/>
      <c r="D36" s="27"/>
      <c r="E36" s="27"/>
      <c r="F36" s="27">
        <v>2468</v>
      </c>
      <c r="G36" s="27">
        <v>2417</v>
      </c>
      <c r="H36" s="27">
        <f t="shared" si="1"/>
        <v>4885</v>
      </c>
      <c r="I36" s="27">
        <v>2536</v>
      </c>
      <c r="J36" s="27">
        <v>2437</v>
      </c>
      <c r="K36" s="27">
        <f t="shared" si="2"/>
        <v>4973</v>
      </c>
      <c r="L36" s="27">
        <v>2606</v>
      </c>
      <c r="M36" s="27">
        <v>2453</v>
      </c>
      <c r="N36" s="27">
        <f t="shared" si="3"/>
        <v>5059</v>
      </c>
      <c r="O36" s="27">
        <v>2758</v>
      </c>
      <c r="P36" s="27">
        <v>2746</v>
      </c>
      <c r="Q36" s="27">
        <f t="shared" si="4"/>
        <v>5504</v>
      </c>
      <c r="R36" s="27">
        <v>2958</v>
      </c>
      <c r="S36" s="27">
        <v>2610</v>
      </c>
      <c r="T36" s="27">
        <f t="shared" si="5"/>
        <v>5568</v>
      </c>
      <c r="U36" s="27">
        <f t="shared" si="14"/>
        <v>13326</v>
      </c>
      <c r="V36" s="27">
        <f t="shared" si="14"/>
        <v>12663</v>
      </c>
      <c r="W36" s="27">
        <f t="shared" si="15"/>
        <v>25989</v>
      </c>
      <c r="X36" s="27">
        <v>2836</v>
      </c>
      <c r="Y36" s="27">
        <v>2532</v>
      </c>
      <c r="Z36" s="27">
        <f t="shared" si="6"/>
        <v>5368</v>
      </c>
      <c r="AA36" s="27">
        <v>2611</v>
      </c>
      <c r="AB36" s="27">
        <v>2332</v>
      </c>
      <c r="AC36" s="27">
        <f t="shared" si="7"/>
        <v>4943</v>
      </c>
      <c r="AD36" s="27">
        <v>2267</v>
      </c>
      <c r="AE36" s="27">
        <v>1843</v>
      </c>
      <c r="AF36" s="27">
        <f t="shared" si="8"/>
        <v>4110</v>
      </c>
      <c r="AG36" s="27">
        <f t="shared" si="16"/>
        <v>7714</v>
      </c>
      <c r="AH36" s="27">
        <f t="shared" si="16"/>
        <v>6707</v>
      </c>
      <c r="AI36" s="27">
        <f t="shared" si="17"/>
        <v>14421</v>
      </c>
      <c r="AJ36" s="27">
        <f t="shared" si="18"/>
        <v>21040</v>
      </c>
      <c r="AK36" s="27">
        <f t="shared" si="18"/>
        <v>19370</v>
      </c>
      <c r="AL36" s="27">
        <f t="shared" si="19"/>
        <v>40410</v>
      </c>
      <c r="AM36" s="27">
        <v>2023</v>
      </c>
      <c r="AN36" s="27">
        <v>1567</v>
      </c>
      <c r="AO36" s="27">
        <f t="shared" si="9"/>
        <v>3590</v>
      </c>
      <c r="AP36" s="27">
        <v>1815</v>
      </c>
      <c r="AQ36" s="27">
        <v>1272</v>
      </c>
      <c r="AR36" s="27">
        <f t="shared" si="10"/>
        <v>3087</v>
      </c>
      <c r="AS36" s="27">
        <f t="shared" si="11"/>
        <v>3838</v>
      </c>
      <c r="AT36" s="27">
        <f t="shared" si="11"/>
        <v>2839</v>
      </c>
      <c r="AU36" s="27">
        <f t="shared" si="20"/>
        <v>6677</v>
      </c>
      <c r="AV36" s="27">
        <f t="shared" si="21"/>
        <v>24878</v>
      </c>
      <c r="AW36" s="27">
        <f t="shared" si="21"/>
        <v>22209</v>
      </c>
      <c r="AX36" s="27">
        <f t="shared" si="22"/>
        <v>47087</v>
      </c>
      <c r="AY36" s="27">
        <v>1569</v>
      </c>
      <c r="AZ36" s="27">
        <v>974</v>
      </c>
      <c r="BA36" s="27">
        <f t="shared" si="26"/>
        <v>2543</v>
      </c>
      <c r="BB36" s="27">
        <v>633</v>
      </c>
      <c r="BC36" s="27">
        <v>389</v>
      </c>
      <c r="BD36" s="27">
        <f t="shared" si="12"/>
        <v>1022</v>
      </c>
      <c r="BE36" s="27">
        <f t="shared" si="27"/>
        <v>2202</v>
      </c>
      <c r="BF36" s="27">
        <f t="shared" si="27"/>
        <v>1363</v>
      </c>
      <c r="BG36" s="27">
        <f t="shared" si="28"/>
        <v>3565</v>
      </c>
      <c r="BH36" s="27">
        <f t="shared" si="13"/>
        <v>27080</v>
      </c>
      <c r="BI36" s="27">
        <f t="shared" si="13"/>
        <v>23572</v>
      </c>
      <c r="BJ36" s="27">
        <f t="shared" si="23"/>
        <v>50652</v>
      </c>
      <c r="BK36" s="27">
        <f t="shared" si="24"/>
        <v>27080</v>
      </c>
      <c r="BL36" s="27">
        <f t="shared" si="24"/>
        <v>23572</v>
      </c>
      <c r="BM36" s="27">
        <f t="shared" si="25"/>
        <v>50652</v>
      </c>
    </row>
    <row r="37" spans="1:65" ht="18.75" customHeight="1">
      <c r="A37" s="25">
        <v>32</v>
      </c>
      <c r="B37" s="26" t="s">
        <v>42</v>
      </c>
      <c r="C37" s="27">
        <v>32</v>
      </c>
      <c r="D37" s="27">
        <v>34</v>
      </c>
      <c r="E37" s="27">
        <f t="shared" si="0"/>
        <v>66</v>
      </c>
      <c r="F37" s="27">
        <v>163</v>
      </c>
      <c r="G37" s="27">
        <v>149</v>
      </c>
      <c r="H37" s="27">
        <f t="shared" si="1"/>
        <v>312</v>
      </c>
      <c r="I37" s="27">
        <v>150</v>
      </c>
      <c r="J37" s="27">
        <v>142</v>
      </c>
      <c r="K37" s="27">
        <f t="shared" si="2"/>
        <v>292</v>
      </c>
      <c r="L37" s="27">
        <v>204</v>
      </c>
      <c r="M37" s="27">
        <v>173</v>
      </c>
      <c r="N37" s="27">
        <f t="shared" si="3"/>
        <v>377</v>
      </c>
      <c r="O37" s="27">
        <v>200</v>
      </c>
      <c r="P37" s="27">
        <v>181</v>
      </c>
      <c r="Q37" s="27">
        <f t="shared" si="4"/>
        <v>381</v>
      </c>
      <c r="R37" s="27">
        <v>222</v>
      </c>
      <c r="S37" s="27">
        <v>177</v>
      </c>
      <c r="T37" s="27">
        <f t="shared" si="5"/>
        <v>399</v>
      </c>
      <c r="U37" s="27">
        <f t="shared" si="14"/>
        <v>939</v>
      </c>
      <c r="V37" s="27">
        <f t="shared" si="14"/>
        <v>822</v>
      </c>
      <c r="W37" s="27">
        <f t="shared" si="15"/>
        <v>1761</v>
      </c>
      <c r="X37" s="27">
        <v>184</v>
      </c>
      <c r="Y37" s="27">
        <v>178</v>
      </c>
      <c r="Z37" s="27">
        <f t="shared" si="6"/>
        <v>362</v>
      </c>
      <c r="AA37" s="27">
        <v>199</v>
      </c>
      <c r="AB37" s="27">
        <v>169</v>
      </c>
      <c r="AC37" s="27">
        <f t="shared" si="7"/>
        <v>368</v>
      </c>
      <c r="AD37" s="27">
        <v>160</v>
      </c>
      <c r="AE37" s="27">
        <v>152</v>
      </c>
      <c r="AF37" s="27">
        <f t="shared" si="8"/>
        <v>312</v>
      </c>
      <c r="AG37" s="27">
        <f t="shared" si="16"/>
        <v>543</v>
      </c>
      <c r="AH37" s="27">
        <f t="shared" si="16"/>
        <v>499</v>
      </c>
      <c r="AI37" s="27">
        <f t="shared" si="17"/>
        <v>1042</v>
      </c>
      <c r="AJ37" s="27">
        <f t="shared" si="18"/>
        <v>1482</v>
      </c>
      <c r="AK37" s="27">
        <f t="shared" si="18"/>
        <v>1321</v>
      </c>
      <c r="AL37" s="27">
        <f t="shared" si="19"/>
        <v>2803</v>
      </c>
      <c r="AM37" s="27">
        <v>167</v>
      </c>
      <c r="AN37" s="27">
        <v>131</v>
      </c>
      <c r="AO37" s="27">
        <f t="shared" si="9"/>
        <v>298</v>
      </c>
      <c r="AP37" s="27">
        <v>164</v>
      </c>
      <c r="AQ37" s="27">
        <v>160</v>
      </c>
      <c r="AR37" s="27">
        <f t="shared" si="10"/>
        <v>324</v>
      </c>
      <c r="AS37" s="27">
        <f t="shared" si="11"/>
        <v>331</v>
      </c>
      <c r="AT37" s="27">
        <f t="shared" si="11"/>
        <v>291</v>
      </c>
      <c r="AU37" s="27">
        <f t="shared" si="20"/>
        <v>622</v>
      </c>
      <c r="AV37" s="27">
        <f t="shared" si="21"/>
        <v>1813</v>
      </c>
      <c r="AW37" s="27">
        <f t="shared" si="21"/>
        <v>1612</v>
      </c>
      <c r="AX37" s="27">
        <f t="shared" si="22"/>
        <v>3425</v>
      </c>
      <c r="AY37" s="27">
        <v>167</v>
      </c>
      <c r="AZ37" s="27">
        <v>110</v>
      </c>
      <c r="BA37" s="27">
        <f t="shared" si="26"/>
        <v>277</v>
      </c>
      <c r="BB37" s="27">
        <v>88</v>
      </c>
      <c r="BC37" s="27">
        <v>94</v>
      </c>
      <c r="BD37" s="27">
        <f t="shared" si="12"/>
        <v>182</v>
      </c>
      <c r="BE37" s="27">
        <f t="shared" si="27"/>
        <v>255</v>
      </c>
      <c r="BF37" s="27">
        <f t="shared" si="27"/>
        <v>204</v>
      </c>
      <c r="BG37" s="27">
        <f t="shared" si="28"/>
        <v>459</v>
      </c>
      <c r="BH37" s="27">
        <f t="shared" si="13"/>
        <v>2068</v>
      </c>
      <c r="BI37" s="27">
        <f t="shared" si="13"/>
        <v>1816</v>
      </c>
      <c r="BJ37" s="27">
        <f t="shared" si="23"/>
        <v>3884</v>
      </c>
      <c r="BK37" s="27">
        <f t="shared" si="24"/>
        <v>2100</v>
      </c>
      <c r="BL37" s="27">
        <f t="shared" si="24"/>
        <v>1850</v>
      </c>
      <c r="BM37" s="27">
        <f t="shared" si="25"/>
        <v>3950</v>
      </c>
    </row>
    <row r="38" spans="1:65" ht="18.75" customHeight="1">
      <c r="A38" s="25">
        <v>33</v>
      </c>
      <c r="B38" s="26" t="s">
        <v>43</v>
      </c>
      <c r="C38" s="27">
        <v>250</v>
      </c>
      <c r="D38" s="27">
        <v>261</v>
      </c>
      <c r="E38" s="27">
        <f t="shared" si="0"/>
        <v>511</v>
      </c>
      <c r="F38" s="27">
        <v>751</v>
      </c>
      <c r="G38" s="27">
        <v>672</v>
      </c>
      <c r="H38" s="27">
        <f t="shared" si="1"/>
        <v>1423</v>
      </c>
      <c r="I38" s="27">
        <v>728</v>
      </c>
      <c r="J38" s="27">
        <v>601</v>
      </c>
      <c r="K38" s="27">
        <f t="shared" si="2"/>
        <v>1329</v>
      </c>
      <c r="L38" s="27">
        <v>779</v>
      </c>
      <c r="M38" s="27">
        <v>635</v>
      </c>
      <c r="N38" s="27">
        <f t="shared" si="3"/>
        <v>1414</v>
      </c>
      <c r="O38" s="27">
        <v>762</v>
      </c>
      <c r="P38" s="27">
        <v>591</v>
      </c>
      <c r="Q38" s="27">
        <f t="shared" si="4"/>
        <v>1353</v>
      </c>
      <c r="R38" s="27">
        <v>808</v>
      </c>
      <c r="S38" s="27">
        <v>596</v>
      </c>
      <c r="T38" s="27">
        <f t="shared" si="5"/>
        <v>1404</v>
      </c>
      <c r="U38" s="27">
        <f t="shared" si="14"/>
        <v>3828</v>
      </c>
      <c r="V38" s="27">
        <f t="shared" si="14"/>
        <v>3095</v>
      </c>
      <c r="W38" s="27">
        <f t="shared" si="15"/>
        <v>6923</v>
      </c>
      <c r="X38" s="27">
        <v>626</v>
      </c>
      <c r="Y38" s="27">
        <v>520</v>
      </c>
      <c r="Z38" s="27">
        <f t="shared" si="6"/>
        <v>1146</v>
      </c>
      <c r="AA38" s="27">
        <v>645</v>
      </c>
      <c r="AB38" s="27">
        <v>491</v>
      </c>
      <c r="AC38" s="27">
        <f t="shared" si="7"/>
        <v>1136</v>
      </c>
      <c r="AD38" s="27">
        <v>755</v>
      </c>
      <c r="AE38" s="27">
        <v>555</v>
      </c>
      <c r="AF38" s="27">
        <f t="shared" si="8"/>
        <v>1310</v>
      </c>
      <c r="AG38" s="27">
        <f t="shared" si="16"/>
        <v>2026</v>
      </c>
      <c r="AH38" s="27">
        <f t="shared" si="16"/>
        <v>1566</v>
      </c>
      <c r="AI38" s="27">
        <f t="shared" si="17"/>
        <v>3592</v>
      </c>
      <c r="AJ38" s="27">
        <f t="shared" si="18"/>
        <v>5854</v>
      </c>
      <c r="AK38" s="27">
        <f t="shared" si="18"/>
        <v>4661</v>
      </c>
      <c r="AL38" s="27">
        <f t="shared" si="19"/>
        <v>10515</v>
      </c>
      <c r="AM38" s="27">
        <v>660</v>
      </c>
      <c r="AN38" s="27">
        <v>577</v>
      </c>
      <c r="AO38" s="27">
        <f t="shared" si="9"/>
        <v>1237</v>
      </c>
      <c r="AP38" s="27">
        <v>620</v>
      </c>
      <c r="AQ38" s="27">
        <v>553</v>
      </c>
      <c r="AR38" s="27">
        <f>AP38+AQ38</f>
        <v>1173</v>
      </c>
      <c r="AS38" s="27">
        <f t="shared" si="11"/>
        <v>1280</v>
      </c>
      <c r="AT38" s="27">
        <f t="shared" si="11"/>
        <v>1130</v>
      </c>
      <c r="AU38" s="27">
        <f t="shared" si="20"/>
        <v>2410</v>
      </c>
      <c r="AV38" s="27">
        <f t="shared" si="21"/>
        <v>7134</v>
      </c>
      <c r="AW38" s="27">
        <f t="shared" si="21"/>
        <v>5791</v>
      </c>
      <c r="AX38" s="27">
        <f t="shared" si="22"/>
        <v>12925</v>
      </c>
      <c r="AY38" s="27">
        <v>600</v>
      </c>
      <c r="AZ38" s="27">
        <v>588</v>
      </c>
      <c r="BA38" s="27">
        <f t="shared" si="26"/>
        <v>1188</v>
      </c>
      <c r="BB38" s="27">
        <v>505</v>
      </c>
      <c r="BC38" s="27">
        <v>482</v>
      </c>
      <c r="BD38" s="27">
        <f t="shared" si="12"/>
        <v>987</v>
      </c>
      <c r="BE38" s="27">
        <f t="shared" si="27"/>
        <v>1105</v>
      </c>
      <c r="BF38" s="27">
        <f t="shared" si="27"/>
        <v>1070</v>
      </c>
      <c r="BG38" s="27">
        <f t="shared" si="28"/>
        <v>2175</v>
      </c>
      <c r="BH38" s="27">
        <f t="shared" si="13"/>
        <v>8239</v>
      </c>
      <c r="BI38" s="27">
        <f t="shared" si="13"/>
        <v>6861</v>
      </c>
      <c r="BJ38" s="27">
        <f t="shared" si="23"/>
        <v>15100</v>
      </c>
      <c r="BK38" s="27">
        <f t="shared" si="24"/>
        <v>8489</v>
      </c>
      <c r="BL38" s="27">
        <f t="shared" si="24"/>
        <v>7122</v>
      </c>
      <c r="BM38" s="27">
        <f t="shared" si="25"/>
        <v>15611</v>
      </c>
    </row>
    <row r="39" spans="1:65" ht="18.75" customHeight="1">
      <c r="A39" s="25">
        <v>34</v>
      </c>
      <c r="B39" s="26" t="s">
        <v>44</v>
      </c>
      <c r="C39" s="27">
        <v>481</v>
      </c>
      <c r="D39" s="27">
        <v>589</v>
      </c>
      <c r="E39" s="27">
        <f t="shared" si="0"/>
        <v>1070</v>
      </c>
      <c r="F39" s="27">
        <v>582</v>
      </c>
      <c r="G39" s="27">
        <v>548</v>
      </c>
      <c r="H39" s="27">
        <f t="shared" si="1"/>
        <v>1130</v>
      </c>
      <c r="I39" s="27">
        <v>563</v>
      </c>
      <c r="J39" s="27">
        <v>515</v>
      </c>
      <c r="K39" s="27">
        <f t="shared" si="2"/>
        <v>1078</v>
      </c>
      <c r="L39" s="27">
        <v>587</v>
      </c>
      <c r="M39" s="27">
        <v>503</v>
      </c>
      <c r="N39" s="27">
        <f t="shared" si="3"/>
        <v>1090</v>
      </c>
      <c r="O39" s="27">
        <v>610</v>
      </c>
      <c r="P39" s="27">
        <v>603</v>
      </c>
      <c r="Q39" s="27">
        <f t="shared" si="4"/>
        <v>1213</v>
      </c>
      <c r="R39" s="27">
        <v>621</v>
      </c>
      <c r="S39" s="27">
        <v>604</v>
      </c>
      <c r="T39" s="27">
        <f t="shared" si="5"/>
        <v>1225</v>
      </c>
      <c r="U39" s="27">
        <f t="shared" si="14"/>
        <v>2963</v>
      </c>
      <c r="V39" s="27">
        <f t="shared" si="14"/>
        <v>2773</v>
      </c>
      <c r="W39" s="27">
        <f t="shared" si="15"/>
        <v>5736</v>
      </c>
      <c r="X39" s="27">
        <v>622</v>
      </c>
      <c r="Y39" s="27">
        <v>637</v>
      </c>
      <c r="Z39" s="27">
        <f t="shared" si="6"/>
        <v>1259</v>
      </c>
      <c r="AA39" s="27">
        <v>755</v>
      </c>
      <c r="AB39" s="27">
        <v>951</v>
      </c>
      <c r="AC39" s="27">
        <f t="shared" si="7"/>
        <v>1706</v>
      </c>
      <c r="AD39" s="27">
        <v>511</v>
      </c>
      <c r="AE39" s="27">
        <v>644</v>
      </c>
      <c r="AF39" s="27">
        <f t="shared" si="8"/>
        <v>1155</v>
      </c>
      <c r="AG39" s="27">
        <f t="shared" si="16"/>
        <v>1888</v>
      </c>
      <c r="AH39" s="27">
        <f t="shared" si="16"/>
        <v>2232</v>
      </c>
      <c r="AI39" s="27">
        <f t="shared" si="17"/>
        <v>4120</v>
      </c>
      <c r="AJ39" s="27">
        <f t="shared" si="18"/>
        <v>4851</v>
      </c>
      <c r="AK39" s="27">
        <f t="shared" si="18"/>
        <v>5005</v>
      </c>
      <c r="AL39" s="27">
        <f t="shared" si="19"/>
        <v>9856</v>
      </c>
      <c r="AM39" s="27">
        <v>675</v>
      </c>
      <c r="AN39" s="27">
        <v>615</v>
      </c>
      <c r="AO39" s="27">
        <f t="shared" si="9"/>
        <v>1290</v>
      </c>
      <c r="AP39" s="27">
        <v>645</v>
      </c>
      <c r="AQ39" s="27">
        <v>551</v>
      </c>
      <c r="AR39" s="27">
        <f t="shared" si="10"/>
        <v>1196</v>
      </c>
      <c r="AS39" s="27">
        <f t="shared" si="11"/>
        <v>1320</v>
      </c>
      <c r="AT39" s="27">
        <f t="shared" si="11"/>
        <v>1166</v>
      </c>
      <c r="AU39" s="27">
        <f t="shared" si="20"/>
        <v>2486</v>
      </c>
      <c r="AV39" s="27">
        <f t="shared" si="21"/>
        <v>6171</v>
      </c>
      <c r="AW39" s="27">
        <f t="shared" si="21"/>
        <v>6171</v>
      </c>
      <c r="AX39" s="27">
        <f t="shared" si="22"/>
        <v>12342</v>
      </c>
      <c r="AY39" s="27">
        <v>539</v>
      </c>
      <c r="AZ39" s="27">
        <v>574</v>
      </c>
      <c r="BA39" s="27">
        <f t="shared" si="26"/>
        <v>1113</v>
      </c>
      <c r="BB39" s="27">
        <v>545</v>
      </c>
      <c r="BC39" s="27">
        <v>571</v>
      </c>
      <c r="BD39" s="27">
        <f t="shared" si="12"/>
        <v>1116</v>
      </c>
      <c r="BE39" s="27">
        <f t="shared" si="27"/>
        <v>1084</v>
      </c>
      <c r="BF39" s="27">
        <f t="shared" si="27"/>
        <v>1145</v>
      </c>
      <c r="BG39" s="27">
        <f t="shared" si="28"/>
        <v>2229</v>
      </c>
      <c r="BH39" s="27">
        <f t="shared" si="13"/>
        <v>7255</v>
      </c>
      <c r="BI39" s="27">
        <f t="shared" si="13"/>
        <v>7316</v>
      </c>
      <c r="BJ39" s="27">
        <f t="shared" si="23"/>
        <v>14571</v>
      </c>
      <c r="BK39" s="27">
        <f t="shared" si="24"/>
        <v>7736</v>
      </c>
      <c r="BL39" s="27">
        <f t="shared" si="24"/>
        <v>7905</v>
      </c>
      <c r="BM39" s="27">
        <f t="shared" si="25"/>
        <v>15641</v>
      </c>
    </row>
    <row r="40" spans="1:65" ht="18.75" customHeight="1">
      <c r="A40" s="25">
        <v>35</v>
      </c>
      <c r="B40" s="26" t="s">
        <v>45</v>
      </c>
      <c r="C40" s="27">
        <v>48</v>
      </c>
      <c r="D40" s="27">
        <v>45</v>
      </c>
      <c r="E40" s="27">
        <f t="shared" si="0"/>
        <v>93</v>
      </c>
      <c r="F40" s="27">
        <v>25</v>
      </c>
      <c r="G40" s="27">
        <v>29</v>
      </c>
      <c r="H40" s="27">
        <f t="shared" si="1"/>
        <v>54</v>
      </c>
      <c r="I40" s="27">
        <v>32</v>
      </c>
      <c r="J40" s="27">
        <v>29</v>
      </c>
      <c r="K40" s="27">
        <f t="shared" si="2"/>
        <v>61</v>
      </c>
      <c r="L40" s="27">
        <v>29</v>
      </c>
      <c r="M40" s="27">
        <v>42</v>
      </c>
      <c r="N40" s="27">
        <f t="shared" si="3"/>
        <v>71</v>
      </c>
      <c r="O40" s="27">
        <v>22</v>
      </c>
      <c r="P40" s="27">
        <v>32</v>
      </c>
      <c r="Q40" s="27">
        <f t="shared" si="4"/>
        <v>54</v>
      </c>
      <c r="R40" s="27">
        <v>34</v>
      </c>
      <c r="S40" s="27">
        <v>35</v>
      </c>
      <c r="T40" s="27">
        <f t="shared" si="5"/>
        <v>69</v>
      </c>
      <c r="U40" s="27">
        <f t="shared" si="14"/>
        <v>142</v>
      </c>
      <c r="V40" s="27">
        <f t="shared" si="14"/>
        <v>167</v>
      </c>
      <c r="W40" s="27">
        <f t="shared" si="15"/>
        <v>309</v>
      </c>
      <c r="X40" s="27">
        <v>33</v>
      </c>
      <c r="Y40" s="27">
        <v>35</v>
      </c>
      <c r="Z40" s="27">
        <f t="shared" si="6"/>
        <v>68</v>
      </c>
      <c r="AA40" s="27">
        <v>28</v>
      </c>
      <c r="AB40" s="27">
        <v>32</v>
      </c>
      <c r="AC40" s="27">
        <f t="shared" si="7"/>
        <v>60</v>
      </c>
      <c r="AD40" s="27">
        <v>35</v>
      </c>
      <c r="AE40" s="27">
        <v>25</v>
      </c>
      <c r="AF40" s="27">
        <f t="shared" si="8"/>
        <v>60</v>
      </c>
      <c r="AG40" s="27">
        <f t="shared" si="16"/>
        <v>96</v>
      </c>
      <c r="AH40" s="27">
        <f t="shared" si="16"/>
        <v>92</v>
      </c>
      <c r="AI40" s="27">
        <f t="shared" si="17"/>
        <v>188</v>
      </c>
      <c r="AJ40" s="27">
        <f t="shared" si="18"/>
        <v>238</v>
      </c>
      <c r="AK40" s="27">
        <f t="shared" si="18"/>
        <v>259</v>
      </c>
      <c r="AL40" s="27">
        <f t="shared" si="19"/>
        <v>497</v>
      </c>
      <c r="AM40" s="27">
        <v>21</v>
      </c>
      <c r="AN40" s="27">
        <v>30</v>
      </c>
      <c r="AO40" s="27">
        <f t="shared" si="9"/>
        <v>51</v>
      </c>
      <c r="AP40" s="27">
        <v>18</v>
      </c>
      <c r="AQ40" s="27">
        <v>24</v>
      </c>
      <c r="AR40" s="27">
        <f t="shared" si="10"/>
        <v>42</v>
      </c>
      <c r="AS40" s="27">
        <f t="shared" si="11"/>
        <v>39</v>
      </c>
      <c r="AT40" s="27">
        <f t="shared" si="11"/>
        <v>54</v>
      </c>
      <c r="AU40" s="27">
        <f t="shared" si="20"/>
        <v>93</v>
      </c>
      <c r="AV40" s="27">
        <f t="shared" si="21"/>
        <v>277</v>
      </c>
      <c r="AW40" s="27">
        <f t="shared" si="21"/>
        <v>313</v>
      </c>
      <c r="AX40" s="27">
        <f t="shared" si="22"/>
        <v>590</v>
      </c>
      <c r="AY40" s="27">
        <v>4</v>
      </c>
      <c r="AZ40" s="27">
        <v>2</v>
      </c>
      <c r="BA40" s="27">
        <f t="shared" si="26"/>
        <v>6</v>
      </c>
      <c r="BB40" s="27">
        <v>4</v>
      </c>
      <c r="BC40" s="27">
        <v>7</v>
      </c>
      <c r="BD40" s="27">
        <f t="shared" si="12"/>
        <v>11</v>
      </c>
      <c r="BE40" s="27">
        <f t="shared" si="27"/>
        <v>8</v>
      </c>
      <c r="BF40" s="27">
        <f t="shared" si="27"/>
        <v>9</v>
      </c>
      <c r="BG40" s="27">
        <f t="shared" si="28"/>
        <v>17</v>
      </c>
      <c r="BH40" s="27">
        <f t="shared" si="13"/>
        <v>285</v>
      </c>
      <c r="BI40" s="27">
        <f t="shared" si="13"/>
        <v>322</v>
      </c>
      <c r="BJ40" s="27">
        <f t="shared" si="23"/>
        <v>607</v>
      </c>
      <c r="BK40" s="27">
        <f t="shared" si="24"/>
        <v>333</v>
      </c>
      <c r="BL40" s="27">
        <f t="shared" si="24"/>
        <v>367</v>
      </c>
      <c r="BM40" s="27">
        <f t="shared" si="25"/>
        <v>700</v>
      </c>
    </row>
    <row r="41" spans="1:65" s="83" customFormat="1" ht="18" customHeight="1">
      <c r="A41" s="286" t="s">
        <v>46</v>
      </c>
      <c r="B41" s="286"/>
      <c r="C41" s="93">
        <f>SUM(C6:C40)</f>
        <v>547072</v>
      </c>
      <c r="D41" s="93">
        <f>SUM(D6:D40)</f>
        <v>499359</v>
      </c>
      <c r="E41" s="93">
        <f t="shared" ref="E41:BM41" si="43">SUM(E6:E40)</f>
        <v>1046431</v>
      </c>
      <c r="F41" s="93">
        <f t="shared" si="43"/>
        <v>1951700</v>
      </c>
      <c r="G41" s="93">
        <f t="shared" si="43"/>
        <v>1808004</v>
      </c>
      <c r="H41" s="94">
        <f t="shared" si="43"/>
        <v>3759704</v>
      </c>
      <c r="I41" s="94">
        <f t="shared" si="43"/>
        <v>1685528</v>
      </c>
      <c r="J41" s="94">
        <f t="shared" si="43"/>
        <v>1594517</v>
      </c>
      <c r="K41" s="94">
        <f t="shared" si="43"/>
        <v>3280045</v>
      </c>
      <c r="L41" s="94">
        <f t="shared" si="43"/>
        <v>1535376</v>
      </c>
      <c r="M41" s="94">
        <f t="shared" si="43"/>
        <v>1458506</v>
      </c>
      <c r="N41" s="94">
        <f t="shared" si="43"/>
        <v>2993882</v>
      </c>
      <c r="O41" s="94">
        <f t="shared" si="43"/>
        <v>1412076</v>
      </c>
      <c r="P41" s="94">
        <f t="shared" si="43"/>
        <v>1336546</v>
      </c>
      <c r="Q41" s="94">
        <f t="shared" si="43"/>
        <v>2748622</v>
      </c>
      <c r="R41" s="94">
        <f t="shared" si="43"/>
        <v>1295963</v>
      </c>
      <c r="S41" s="94">
        <f t="shared" si="43"/>
        <v>1233938</v>
      </c>
      <c r="T41" s="94">
        <f t="shared" si="43"/>
        <v>2529901</v>
      </c>
      <c r="U41" s="94">
        <f t="shared" si="43"/>
        <v>7880643</v>
      </c>
      <c r="V41" s="94">
        <f t="shared" si="43"/>
        <v>7431511</v>
      </c>
      <c r="W41" s="93">
        <f t="shared" si="43"/>
        <v>15312154</v>
      </c>
      <c r="X41" s="94">
        <f t="shared" si="43"/>
        <v>1083286</v>
      </c>
      <c r="Y41" s="94">
        <f t="shared" si="43"/>
        <v>1024748</v>
      </c>
      <c r="Z41" s="94">
        <f t="shared" si="43"/>
        <v>2108034</v>
      </c>
      <c r="AA41" s="94">
        <f t="shared" si="43"/>
        <v>987489</v>
      </c>
      <c r="AB41" s="94">
        <f t="shared" si="43"/>
        <v>922719</v>
      </c>
      <c r="AC41" s="93">
        <f t="shared" si="43"/>
        <v>1910208</v>
      </c>
      <c r="AD41" s="93">
        <f t="shared" si="43"/>
        <v>841871</v>
      </c>
      <c r="AE41" s="93">
        <f t="shared" si="43"/>
        <v>749039</v>
      </c>
      <c r="AF41" s="94">
        <f t="shared" si="43"/>
        <v>1590910</v>
      </c>
      <c r="AG41" s="93">
        <f t="shared" si="43"/>
        <v>2912646</v>
      </c>
      <c r="AH41" s="93">
        <f t="shared" si="43"/>
        <v>2696506</v>
      </c>
      <c r="AI41" s="93">
        <f t="shared" si="43"/>
        <v>5609152</v>
      </c>
      <c r="AJ41" s="93">
        <f t="shared" si="43"/>
        <v>10793289</v>
      </c>
      <c r="AK41" s="93">
        <f t="shared" si="43"/>
        <v>10128017</v>
      </c>
      <c r="AL41" s="93">
        <f t="shared" si="43"/>
        <v>20921306</v>
      </c>
      <c r="AM41" s="93">
        <f t="shared" si="43"/>
        <v>758144</v>
      </c>
      <c r="AN41" s="93">
        <f t="shared" si="43"/>
        <v>634942</v>
      </c>
      <c r="AO41" s="94">
        <f t="shared" si="43"/>
        <v>1393086</v>
      </c>
      <c r="AP41" s="94">
        <f t="shared" si="43"/>
        <v>621724</v>
      </c>
      <c r="AQ41" s="94">
        <f t="shared" si="43"/>
        <v>520091</v>
      </c>
      <c r="AR41" s="94">
        <f t="shared" si="43"/>
        <v>1141815</v>
      </c>
      <c r="AS41" s="94">
        <f t="shared" si="43"/>
        <v>1379868</v>
      </c>
      <c r="AT41" s="94">
        <f t="shared" si="43"/>
        <v>1155033</v>
      </c>
      <c r="AU41" s="94">
        <f t="shared" si="43"/>
        <v>2534901</v>
      </c>
      <c r="AV41" s="94">
        <f t="shared" si="43"/>
        <v>12173157</v>
      </c>
      <c r="AW41" s="94">
        <f t="shared" si="43"/>
        <v>11283050</v>
      </c>
      <c r="AX41" s="94">
        <f t="shared" si="43"/>
        <v>23456207</v>
      </c>
      <c r="AY41" s="94">
        <f t="shared" si="43"/>
        <v>389980</v>
      </c>
      <c r="AZ41" s="94">
        <f t="shared" si="43"/>
        <v>298962</v>
      </c>
      <c r="BA41" s="94">
        <f t="shared" si="43"/>
        <v>688942</v>
      </c>
      <c r="BB41" s="94">
        <f t="shared" si="43"/>
        <v>347380</v>
      </c>
      <c r="BC41" s="94">
        <f t="shared" si="43"/>
        <v>262288</v>
      </c>
      <c r="BD41" s="94">
        <f t="shared" si="43"/>
        <v>609668</v>
      </c>
      <c r="BE41" s="94">
        <f t="shared" si="43"/>
        <v>737360</v>
      </c>
      <c r="BF41" s="94">
        <f t="shared" si="43"/>
        <v>561250</v>
      </c>
      <c r="BG41" s="94">
        <f t="shared" si="43"/>
        <v>1298610</v>
      </c>
      <c r="BH41" s="94">
        <f t="shared" si="43"/>
        <v>12910517</v>
      </c>
      <c r="BI41" s="94">
        <f t="shared" si="43"/>
        <v>11844300</v>
      </c>
      <c r="BJ41" s="94">
        <f t="shared" si="43"/>
        <v>24754817</v>
      </c>
      <c r="BK41" s="94">
        <f t="shared" si="43"/>
        <v>13457589</v>
      </c>
      <c r="BL41" s="94">
        <f t="shared" si="43"/>
        <v>12343659</v>
      </c>
      <c r="BM41" s="94">
        <f t="shared" si="43"/>
        <v>25801248</v>
      </c>
    </row>
    <row r="47" spans="1:65" s="262" customFormat="1"/>
  </sheetData>
  <mergeCells count="24">
    <mergeCell ref="AS3:AU3"/>
    <mergeCell ref="AV3:AX3"/>
    <mergeCell ref="O3:Q3"/>
    <mergeCell ref="R3:T3"/>
    <mergeCell ref="U3:W3"/>
    <mergeCell ref="X3:Z3"/>
    <mergeCell ref="AA3:AC3"/>
    <mergeCell ref="AD3:AF3"/>
    <mergeCell ref="A41:B41"/>
    <mergeCell ref="AG3:AI3"/>
    <mergeCell ref="AJ3:AL3"/>
    <mergeCell ref="AM3:AO3"/>
    <mergeCell ref="AP3:AR3"/>
    <mergeCell ref="A3:A4"/>
    <mergeCell ref="B3:B4"/>
    <mergeCell ref="C3:E3"/>
    <mergeCell ref="F3:H3"/>
    <mergeCell ref="I3:K3"/>
    <mergeCell ref="L3:N3"/>
    <mergeCell ref="AY3:BA3"/>
    <mergeCell ref="BB3:BD3"/>
    <mergeCell ref="BE3:BG3"/>
    <mergeCell ref="BH3:BJ3"/>
    <mergeCell ref="BK3:BM3"/>
  </mergeCells>
  <printOptions horizontalCentered="1"/>
  <pageMargins left="0.2" right="0.22" top="0.32" bottom="0.59" header="0.2" footer="0.33"/>
  <pageSetup paperSize="9" scale="98" firstPageNumber="27" orientation="portrait" useFirstPageNumber="1" r:id="rId1"/>
  <headerFooter alignWithMargins="0">
    <oddFooter>&amp;LSTATISTICS OF SCHOOL EDUCATION 2011-12&amp;R&amp;P</oddFooter>
  </headerFooter>
  <colBreaks count="4" manualBreakCount="4">
    <brk id="44" max="40" man="1"/>
    <brk id="50" max="40" man="1"/>
    <brk id="56" max="40" man="1"/>
    <brk id="62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BR61"/>
  <sheetViews>
    <sheetView workbookViewId="0">
      <pane xSplit="3" ySplit="4" topLeftCell="D7" activePane="bottomRight" state="frozen"/>
      <selection activeCell="B49" sqref="B49"/>
      <selection pane="topRight" activeCell="B49" sqref="B49"/>
      <selection pane="bottomLeft" activeCell="B49" sqref="B49"/>
      <selection pane="bottomRight" activeCell="E11" sqref="E11"/>
    </sheetView>
  </sheetViews>
  <sheetFormatPr defaultRowHeight="12.75"/>
  <cols>
    <col min="1" max="1" width="2.28515625" style="149" customWidth="1"/>
    <col min="2" max="2" width="9.140625" style="149"/>
    <col min="3" max="3" width="19.7109375" style="149" customWidth="1"/>
    <col min="4" max="4" width="14.28515625" style="149" customWidth="1"/>
    <col min="5" max="5" width="12.5703125" style="149" customWidth="1"/>
    <col min="6" max="6" width="11.42578125" style="149" customWidth="1"/>
    <col min="7" max="60" width="12.7109375" style="149" customWidth="1"/>
    <col min="61" max="61" width="24.140625" style="149" customWidth="1"/>
    <col min="62" max="62" width="22" style="149" customWidth="1"/>
    <col min="63" max="63" width="22.5703125" style="149" customWidth="1"/>
    <col min="64" max="64" width="24.42578125" style="149" customWidth="1"/>
    <col min="65" max="65" width="21.140625" style="149" customWidth="1"/>
    <col min="66" max="66" width="25.7109375" style="149" customWidth="1"/>
    <col min="67" max="67" width="11.5703125" style="149" customWidth="1"/>
    <col min="68" max="68" width="11" style="149" customWidth="1"/>
    <col min="69" max="69" width="12.7109375" style="149" customWidth="1"/>
    <col min="70" max="16384" width="9.140625" style="149"/>
  </cols>
  <sheetData>
    <row r="1" spans="2:70" ht="44.25" customHeight="1">
      <c r="B1" s="186"/>
      <c r="C1" s="186"/>
      <c r="D1" s="187"/>
      <c r="E1" s="185"/>
      <c r="F1" s="187"/>
      <c r="G1" s="292" t="s">
        <v>167</v>
      </c>
      <c r="H1" s="292"/>
      <c r="I1" s="292"/>
      <c r="J1" s="292"/>
      <c r="K1" s="292"/>
      <c r="L1" s="292"/>
      <c r="M1" s="292" t="s">
        <v>166</v>
      </c>
      <c r="N1" s="292"/>
      <c r="O1" s="292"/>
      <c r="P1" s="292"/>
      <c r="Q1" s="292"/>
      <c r="R1" s="292"/>
      <c r="S1" s="292" t="s">
        <v>165</v>
      </c>
      <c r="T1" s="292"/>
      <c r="U1" s="292"/>
      <c r="V1" s="292"/>
      <c r="W1" s="292"/>
      <c r="X1" s="292"/>
      <c r="Y1" s="292" t="s">
        <v>166</v>
      </c>
      <c r="Z1" s="292"/>
      <c r="AA1" s="292"/>
      <c r="AB1" s="292"/>
      <c r="AC1" s="292"/>
      <c r="AD1" s="292"/>
      <c r="AE1" s="292" t="s">
        <v>166</v>
      </c>
      <c r="AF1" s="292"/>
      <c r="AG1" s="292"/>
      <c r="AH1" s="292"/>
      <c r="AI1" s="292"/>
      <c r="AJ1" s="292"/>
      <c r="AK1" s="292" t="s">
        <v>165</v>
      </c>
      <c r="AL1" s="292"/>
      <c r="AM1" s="292"/>
      <c r="AN1" s="292"/>
      <c r="AO1" s="292"/>
      <c r="AP1" s="292"/>
      <c r="AQ1" s="292" t="s">
        <v>165</v>
      </c>
      <c r="AR1" s="292"/>
      <c r="AS1" s="292"/>
      <c r="AT1" s="292"/>
      <c r="AU1" s="292"/>
      <c r="AV1" s="292"/>
      <c r="AW1" s="292" t="s">
        <v>165</v>
      </c>
      <c r="AX1" s="292"/>
      <c r="AY1" s="292"/>
      <c r="AZ1" s="292"/>
      <c r="BA1" s="292"/>
      <c r="BB1" s="292"/>
      <c r="BC1" s="292" t="s">
        <v>165</v>
      </c>
      <c r="BD1" s="292"/>
      <c r="BE1" s="292"/>
      <c r="BF1" s="292"/>
      <c r="BG1" s="292"/>
      <c r="BH1" s="292"/>
      <c r="BI1" s="292" t="s">
        <v>164</v>
      </c>
      <c r="BJ1" s="292"/>
      <c r="BK1" s="292"/>
      <c r="BL1" s="187"/>
      <c r="BM1" s="187"/>
      <c r="BN1" s="187"/>
      <c r="BO1" s="184"/>
      <c r="BP1" s="184"/>
      <c r="BQ1" s="184"/>
      <c r="BR1" s="179"/>
    </row>
    <row r="2" spans="2:70" ht="45.75" customHeight="1">
      <c r="B2" s="186"/>
      <c r="C2" s="186"/>
      <c r="D2" s="185"/>
      <c r="E2" s="185"/>
      <c r="F2" s="185"/>
      <c r="G2" s="291" t="s">
        <v>163</v>
      </c>
      <c r="H2" s="291"/>
      <c r="I2" s="291"/>
      <c r="J2" s="291"/>
      <c r="K2" s="291"/>
      <c r="L2" s="291"/>
      <c r="M2" s="291" t="s">
        <v>163</v>
      </c>
      <c r="N2" s="291"/>
      <c r="O2" s="291"/>
      <c r="P2" s="291"/>
      <c r="Q2" s="291"/>
      <c r="R2" s="291"/>
      <c r="S2" s="291" t="s">
        <v>163</v>
      </c>
      <c r="T2" s="291"/>
      <c r="U2" s="291"/>
      <c r="V2" s="291"/>
      <c r="W2" s="291"/>
      <c r="X2" s="291"/>
      <c r="Y2" s="291" t="s">
        <v>163</v>
      </c>
      <c r="Z2" s="291"/>
      <c r="AA2" s="291"/>
      <c r="AB2" s="291"/>
      <c r="AC2" s="291"/>
      <c r="AD2" s="291"/>
      <c r="AE2" s="291" t="s">
        <v>163</v>
      </c>
      <c r="AF2" s="291"/>
      <c r="AG2" s="291"/>
      <c r="AH2" s="291"/>
      <c r="AI2" s="291"/>
      <c r="AJ2" s="291"/>
      <c r="AK2" s="291" t="s">
        <v>163</v>
      </c>
      <c r="AL2" s="291"/>
      <c r="AM2" s="291"/>
      <c r="AN2" s="291"/>
      <c r="AO2" s="291"/>
      <c r="AP2" s="291"/>
      <c r="AQ2" s="291" t="s">
        <v>163</v>
      </c>
      <c r="AR2" s="291"/>
      <c r="AS2" s="291"/>
      <c r="AT2" s="291"/>
      <c r="AU2" s="291"/>
      <c r="AV2" s="291"/>
      <c r="AW2" s="291" t="s">
        <v>163</v>
      </c>
      <c r="AX2" s="291"/>
      <c r="AY2" s="291"/>
      <c r="AZ2" s="291"/>
      <c r="BA2" s="291"/>
      <c r="BB2" s="291"/>
      <c r="BC2" s="291" t="s">
        <v>163</v>
      </c>
      <c r="BD2" s="291"/>
      <c r="BE2" s="291"/>
      <c r="BF2" s="291"/>
      <c r="BG2" s="291"/>
      <c r="BH2" s="291"/>
      <c r="BI2" s="291" t="s">
        <v>163</v>
      </c>
      <c r="BJ2" s="291"/>
      <c r="BK2" s="291"/>
      <c r="BL2" s="185"/>
      <c r="BM2" s="185"/>
      <c r="BN2" s="185"/>
      <c r="BO2" s="184"/>
      <c r="BP2" s="184"/>
      <c r="BQ2" s="184"/>
      <c r="BR2" s="179"/>
    </row>
    <row r="3" spans="2:70" ht="48.75" customHeight="1">
      <c r="B3" s="287" t="s">
        <v>162</v>
      </c>
      <c r="C3" s="288" t="s">
        <v>161</v>
      </c>
      <c r="D3" s="287" t="s">
        <v>0</v>
      </c>
      <c r="E3" s="287"/>
      <c r="F3" s="287"/>
      <c r="G3" s="287" t="s">
        <v>1</v>
      </c>
      <c r="H3" s="287"/>
      <c r="I3" s="287"/>
      <c r="J3" s="287" t="s">
        <v>2</v>
      </c>
      <c r="K3" s="287"/>
      <c r="L3" s="287"/>
      <c r="M3" s="287" t="s">
        <v>3</v>
      </c>
      <c r="N3" s="287"/>
      <c r="O3" s="287"/>
      <c r="P3" s="287" t="s">
        <v>4</v>
      </c>
      <c r="Q3" s="287"/>
      <c r="R3" s="287"/>
      <c r="S3" s="287" t="s">
        <v>5</v>
      </c>
      <c r="T3" s="287"/>
      <c r="U3" s="287"/>
      <c r="V3" s="287" t="s">
        <v>160</v>
      </c>
      <c r="W3" s="287"/>
      <c r="X3" s="287"/>
      <c r="Y3" s="287" t="s">
        <v>6</v>
      </c>
      <c r="Z3" s="287"/>
      <c r="AA3" s="287"/>
      <c r="AB3" s="287" t="s">
        <v>7</v>
      </c>
      <c r="AC3" s="287"/>
      <c r="AD3" s="287"/>
      <c r="AE3" s="287" t="s">
        <v>8</v>
      </c>
      <c r="AF3" s="287"/>
      <c r="AG3" s="287"/>
      <c r="AH3" s="287" t="s">
        <v>159</v>
      </c>
      <c r="AI3" s="287"/>
      <c r="AJ3" s="287"/>
      <c r="AK3" s="293" t="s">
        <v>158</v>
      </c>
      <c r="AL3" s="293"/>
      <c r="AM3" s="293"/>
      <c r="AN3" s="287" t="s">
        <v>9</v>
      </c>
      <c r="AO3" s="287"/>
      <c r="AP3" s="287"/>
      <c r="AQ3" s="287" t="s">
        <v>10</v>
      </c>
      <c r="AR3" s="287"/>
      <c r="AS3" s="287"/>
      <c r="AT3" s="287" t="s">
        <v>157</v>
      </c>
      <c r="AU3" s="287"/>
      <c r="AV3" s="287"/>
      <c r="AW3" s="293" t="s">
        <v>156</v>
      </c>
      <c r="AX3" s="293"/>
      <c r="AY3" s="293"/>
      <c r="AZ3" s="287" t="s">
        <v>11</v>
      </c>
      <c r="BA3" s="287"/>
      <c r="BB3" s="287"/>
      <c r="BC3" s="287" t="s">
        <v>12</v>
      </c>
      <c r="BD3" s="287"/>
      <c r="BE3" s="287"/>
      <c r="BF3" s="288" t="s">
        <v>155</v>
      </c>
      <c r="BG3" s="288"/>
      <c r="BH3" s="288"/>
      <c r="BI3" s="288" t="s">
        <v>154</v>
      </c>
      <c r="BJ3" s="288"/>
      <c r="BK3" s="288"/>
      <c r="BL3" s="290" t="s">
        <v>153</v>
      </c>
      <c r="BM3" s="290"/>
      <c r="BN3" s="290"/>
      <c r="BO3" s="289"/>
      <c r="BP3" s="289"/>
      <c r="BQ3" s="289"/>
      <c r="BR3" s="179"/>
    </row>
    <row r="4" spans="2:70" ht="18.75" customHeight="1">
      <c r="B4" s="287"/>
      <c r="C4" s="288"/>
      <c r="D4" s="182" t="s">
        <v>13</v>
      </c>
      <c r="E4" s="182" t="s">
        <v>14</v>
      </c>
      <c r="F4" s="182" t="s">
        <v>15</v>
      </c>
      <c r="G4" s="182" t="s">
        <v>13</v>
      </c>
      <c r="H4" s="182" t="s">
        <v>14</v>
      </c>
      <c r="I4" s="182" t="s">
        <v>15</v>
      </c>
      <c r="J4" s="182" t="s">
        <v>13</v>
      </c>
      <c r="K4" s="182" t="s">
        <v>14</v>
      </c>
      <c r="L4" s="182" t="s">
        <v>15</v>
      </c>
      <c r="M4" s="182" t="s">
        <v>13</v>
      </c>
      <c r="N4" s="182" t="s">
        <v>14</v>
      </c>
      <c r="O4" s="182" t="s">
        <v>15</v>
      </c>
      <c r="P4" s="182" t="s">
        <v>13</v>
      </c>
      <c r="Q4" s="182" t="s">
        <v>14</v>
      </c>
      <c r="R4" s="182" t="s">
        <v>15</v>
      </c>
      <c r="S4" s="182" t="s">
        <v>13</v>
      </c>
      <c r="T4" s="182" t="s">
        <v>14</v>
      </c>
      <c r="U4" s="182" t="s">
        <v>15</v>
      </c>
      <c r="V4" s="182" t="s">
        <v>13</v>
      </c>
      <c r="W4" s="182" t="s">
        <v>14</v>
      </c>
      <c r="X4" s="182" t="s">
        <v>15</v>
      </c>
      <c r="Y4" s="182" t="s">
        <v>13</v>
      </c>
      <c r="Z4" s="182" t="s">
        <v>14</v>
      </c>
      <c r="AA4" s="182" t="s">
        <v>15</v>
      </c>
      <c r="AB4" s="182" t="s">
        <v>13</v>
      </c>
      <c r="AC4" s="182" t="s">
        <v>14</v>
      </c>
      <c r="AD4" s="182" t="s">
        <v>15</v>
      </c>
      <c r="AE4" s="182" t="s">
        <v>13</v>
      </c>
      <c r="AF4" s="182" t="s">
        <v>14</v>
      </c>
      <c r="AG4" s="182" t="s">
        <v>15</v>
      </c>
      <c r="AH4" s="182" t="s">
        <v>13</v>
      </c>
      <c r="AI4" s="182" t="s">
        <v>14</v>
      </c>
      <c r="AJ4" s="182" t="s">
        <v>15</v>
      </c>
      <c r="AK4" s="182" t="s">
        <v>13</v>
      </c>
      <c r="AL4" s="182" t="s">
        <v>14</v>
      </c>
      <c r="AM4" s="182" t="s">
        <v>15</v>
      </c>
      <c r="AN4" s="182" t="s">
        <v>13</v>
      </c>
      <c r="AO4" s="182" t="s">
        <v>14</v>
      </c>
      <c r="AP4" s="182" t="s">
        <v>15</v>
      </c>
      <c r="AQ4" s="182" t="s">
        <v>13</v>
      </c>
      <c r="AR4" s="182" t="s">
        <v>14</v>
      </c>
      <c r="AS4" s="182" t="s">
        <v>15</v>
      </c>
      <c r="AT4" s="182" t="s">
        <v>13</v>
      </c>
      <c r="AU4" s="182" t="s">
        <v>14</v>
      </c>
      <c r="AV4" s="182" t="s">
        <v>15</v>
      </c>
      <c r="AW4" s="182" t="s">
        <v>13</v>
      </c>
      <c r="AX4" s="182" t="s">
        <v>14</v>
      </c>
      <c r="AY4" s="182" t="s">
        <v>15</v>
      </c>
      <c r="AZ4" s="182" t="s">
        <v>13</v>
      </c>
      <c r="BA4" s="182" t="s">
        <v>14</v>
      </c>
      <c r="BB4" s="182" t="s">
        <v>15</v>
      </c>
      <c r="BC4" s="182" t="s">
        <v>13</v>
      </c>
      <c r="BD4" s="182" t="s">
        <v>14</v>
      </c>
      <c r="BE4" s="182" t="s">
        <v>15</v>
      </c>
      <c r="BF4" s="182" t="s">
        <v>13</v>
      </c>
      <c r="BG4" s="182" t="s">
        <v>14</v>
      </c>
      <c r="BH4" s="182" t="s">
        <v>15</v>
      </c>
      <c r="BI4" s="182" t="s">
        <v>13</v>
      </c>
      <c r="BJ4" s="182" t="s">
        <v>14</v>
      </c>
      <c r="BK4" s="182" t="s">
        <v>15</v>
      </c>
      <c r="BL4" s="181" t="s">
        <v>13</v>
      </c>
      <c r="BM4" s="181" t="s">
        <v>14</v>
      </c>
      <c r="BN4" s="181" t="s">
        <v>15</v>
      </c>
      <c r="BO4" s="183"/>
      <c r="BP4" s="183"/>
      <c r="BQ4" s="183"/>
      <c r="BR4" s="179"/>
    </row>
    <row r="5" spans="2:70" ht="15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1"/>
      <c r="BM5" s="181"/>
      <c r="BN5" s="181"/>
      <c r="BO5" s="179"/>
      <c r="BP5" s="179"/>
      <c r="BQ5" s="179"/>
      <c r="BR5" s="179"/>
    </row>
    <row r="6" spans="2:70" ht="18" customHeight="1">
      <c r="B6" s="169">
        <v>1</v>
      </c>
      <c r="C6" s="229" t="s">
        <v>16</v>
      </c>
      <c r="D6" s="158">
        <v>130447</v>
      </c>
      <c r="E6" s="158">
        <v>97143</v>
      </c>
      <c r="F6" s="158">
        <f t="shared" ref="F6:F41" si="0">D6+E6</f>
        <v>227590</v>
      </c>
      <c r="G6" s="158">
        <v>556207</v>
      </c>
      <c r="H6" s="158">
        <v>528453</v>
      </c>
      <c r="I6" s="158">
        <f t="shared" ref="I6:I41" si="1">G6+H6</f>
        <v>1084660</v>
      </c>
      <c r="J6" s="158">
        <v>512123</v>
      </c>
      <c r="K6" s="158">
        <v>495148</v>
      </c>
      <c r="L6" s="158">
        <f t="shared" ref="L6:L41" si="2">J6+K6</f>
        <v>1007271</v>
      </c>
      <c r="M6" s="158">
        <v>499130</v>
      </c>
      <c r="N6" s="158">
        <v>488259</v>
      </c>
      <c r="O6" s="158">
        <f t="shared" ref="O6:O41" si="3">M6+N6</f>
        <v>987389</v>
      </c>
      <c r="P6" s="158">
        <v>466117</v>
      </c>
      <c r="Q6" s="158">
        <v>459443</v>
      </c>
      <c r="R6" s="158">
        <f t="shared" ref="R6:R41" si="4">P6+Q6</f>
        <v>925560</v>
      </c>
      <c r="S6" s="158">
        <v>466892</v>
      </c>
      <c r="T6" s="158">
        <v>454327</v>
      </c>
      <c r="U6" s="158">
        <f t="shared" ref="U6:U23" si="5">S6+T6</f>
        <v>921219</v>
      </c>
      <c r="V6" s="158">
        <f t="shared" ref="V6:V40" si="6">G6+J6+M6+P6+S6</f>
        <v>2500469</v>
      </c>
      <c r="W6" s="158">
        <f t="shared" ref="W6:W40" si="7">H6+K6+N6+Q6+T6</f>
        <v>2425630</v>
      </c>
      <c r="X6" s="158">
        <f t="shared" ref="X6:X40" si="8">V6+W6</f>
        <v>4926099</v>
      </c>
      <c r="Y6" s="158">
        <v>431531</v>
      </c>
      <c r="Z6" s="158">
        <v>430124</v>
      </c>
      <c r="AA6" s="158">
        <f t="shared" ref="AA6:AA40" si="9">Y6+Z6</f>
        <v>861655</v>
      </c>
      <c r="AB6" s="158">
        <v>425633</v>
      </c>
      <c r="AC6" s="158">
        <v>422203</v>
      </c>
      <c r="AD6" s="158">
        <v>369218</v>
      </c>
      <c r="AE6" s="158">
        <v>358538</v>
      </c>
      <c r="AF6" s="158">
        <v>356965</v>
      </c>
      <c r="AG6" s="158">
        <f t="shared" ref="AG6:AG40" si="10">AE6+AF6</f>
        <v>715503</v>
      </c>
      <c r="AH6" s="158">
        <f t="shared" ref="AH6:AH41" si="11">Y6+AB6+AE6</f>
        <v>1215702</v>
      </c>
      <c r="AI6" s="158">
        <f t="shared" ref="AI6:AI41" si="12">Z6+AC6+AF6</f>
        <v>1209292</v>
      </c>
      <c r="AJ6" s="158">
        <f t="shared" ref="AJ6:AJ40" si="13">AH6+AI6</f>
        <v>2424994</v>
      </c>
      <c r="AK6" s="168">
        <f t="shared" ref="AK6:AK40" si="14">V6+AH6</f>
        <v>3716171</v>
      </c>
      <c r="AL6" s="168">
        <f t="shared" ref="AL6:AL40" si="15">W6+AI6</f>
        <v>3634922</v>
      </c>
      <c r="AM6" s="168">
        <f t="shared" ref="AM6:AM40" si="16">AK6+AL6</f>
        <v>7351093</v>
      </c>
      <c r="AN6" s="158">
        <v>356965</v>
      </c>
      <c r="AO6" s="158">
        <v>341972</v>
      </c>
      <c r="AP6" s="158">
        <f t="shared" ref="AP6:AP40" si="17">AN6+AO6</f>
        <v>698937</v>
      </c>
      <c r="AQ6" s="158">
        <v>345543</v>
      </c>
      <c r="AR6" s="158">
        <v>330262</v>
      </c>
      <c r="AS6" s="158">
        <f t="shared" ref="AS6:AS40" si="18">AQ6+AR6</f>
        <v>675805</v>
      </c>
      <c r="AT6" s="158">
        <f t="shared" ref="AT6:AT40" si="19">AN6+AQ6</f>
        <v>702508</v>
      </c>
      <c r="AU6" s="158">
        <f t="shared" ref="AU6:AU40" si="20">AO6+AR6</f>
        <v>672234</v>
      </c>
      <c r="AV6" s="158">
        <f t="shared" ref="AV6:AV40" si="21">AT6+AU6</f>
        <v>1374742</v>
      </c>
      <c r="AW6" s="168">
        <f t="shared" ref="AW6:AW40" si="22">AK6+AT6</f>
        <v>4418679</v>
      </c>
      <c r="AX6" s="168">
        <f t="shared" ref="AX6:AX40" si="23">AL6+AU6</f>
        <v>4307156</v>
      </c>
      <c r="AY6" s="168">
        <f t="shared" ref="AY6:AY40" si="24">AW6+AX6</f>
        <v>8725835</v>
      </c>
      <c r="AZ6" s="178">
        <v>2737</v>
      </c>
      <c r="BA6" s="178">
        <v>4746</v>
      </c>
      <c r="BB6" s="178">
        <f t="shared" ref="BB6:BB40" si="25">AZ6+BA6</f>
        <v>7483</v>
      </c>
      <c r="BC6" s="178">
        <v>2248</v>
      </c>
      <c r="BD6" s="178">
        <v>4409</v>
      </c>
      <c r="BE6" s="178">
        <f t="shared" ref="BE6:BE40" si="26">BC6+BD6</f>
        <v>6657</v>
      </c>
      <c r="BF6" s="158">
        <f t="shared" ref="BF6:BF40" si="27">AZ6+BC6</f>
        <v>4985</v>
      </c>
      <c r="BG6" s="158">
        <f t="shared" ref="BG6:BG40" si="28">BA6+BD6</f>
        <v>9155</v>
      </c>
      <c r="BH6" s="158">
        <f t="shared" ref="BH6:BH40" si="29">BF6+BG6</f>
        <v>14140</v>
      </c>
      <c r="BI6" s="158">
        <f t="shared" ref="BI6:BI40" si="30">V6+AH6+AT6+BF6</f>
        <v>4423664</v>
      </c>
      <c r="BJ6" s="158">
        <f t="shared" ref="BJ6:BJ40" si="31">W6+AI6+AU6+BG6</f>
        <v>4316311</v>
      </c>
      <c r="BK6" s="158">
        <f t="shared" ref="BK6:BK41" si="32">BI6+BJ6</f>
        <v>8739975</v>
      </c>
      <c r="BL6" s="158">
        <f>D6+V6+AH6+AT6+BF6</f>
        <v>4554111</v>
      </c>
      <c r="BM6" s="158">
        <f>E6+W6+AI6+AU6+BG6</f>
        <v>4413454</v>
      </c>
      <c r="BN6" s="158">
        <f>BL6+BM6</f>
        <v>8967565</v>
      </c>
      <c r="BO6" s="180"/>
      <c r="BP6" s="180"/>
      <c r="BQ6" s="180"/>
      <c r="BR6" s="179"/>
    </row>
    <row r="7" spans="2:70" ht="18" customHeight="1">
      <c r="B7" s="169">
        <v>2</v>
      </c>
      <c r="C7" s="229" t="s">
        <v>17</v>
      </c>
      <c r="D7" s="158">
        <v>12522</v>
      </c>
      <c r="E7" s="158">
        <v>10882</v>
      </c>
      <c r="F7" s="158">
        <f t="shared" si="0"/>
        <v>23404</v>
      </c>
      <c r="G7" s="158">
        <v>25475</v>
      </c>
      <c r="H7" s="158">
        <v>23577</v>
      </c>
      <c r="I7" s="158">
        <f t="shared" si="1"/>
        <v>49052</v>
      </c>
      <c r="J7" s="158">
        <v>19737</v>
      </c>
      <c r="K7" s="158">
        <v>18598</v>
      </c>
      <c r="L7" s="158">
        <f t="shared" si="2"/>
        <v>38335</v>
      </c>
      <c r="M7" s="158">
        <v>16652</v>
      </c>
      <c r="N7" s="158">
        <v>15414</v>
      </c>
      <c r="O7" s="158">
        <f t="shared" si="3"/>
        <v>32066</v>
      </c>
      <c r="P7" s="158">
        <v>14489</v>
      </c>
      <c r="Q7" s="158">
        <v>13500</v>
      </c>
      <c r="R7" s="158">
        <f t="shared" si="4"/>
        <v>27989</v>
      </c>
      <c r="S7" s="158">
        <v>13536</v>
      </c>
      <c r="T7" s="158">
        <v>12247</v>
      </c>
      <c r="U7" s="158">
        <f t="shared" si="5"/>
        <v>25783</v>
      </c>
      <c r="V7" s="158">
        <f t="shared" si="6"/>
        <v>89889</v>
      </c>
      <c r="W7" s="158">
        <f t="shared" si="7"/>
        <v>83336</v>
      </c>
      <c r="X7" s="158">
        <f t="shared" si="8"/>
        <v>173225</v>
      </c>
      <c r="Y7" s="158">
        <v>11374</v>
      </c>
      <c r="Z7" s="158">
        <v>10802</v>
      </c>
      <c r="AA7" s="158">
        <f t="shared" si="9"/>
        <v>22176</v>
      </c>
      <c r="AB7" s="158">
        <v>10327</v>
      </c>
      <c r="AC7" s="158">
        <v>9895</v>
      </c>
      <c r="AD7" s="158">
        <f t="shared" ref="AD7:AD40" si="33">AB7+AC7</f>
        <v>20222</v>
      </c>
      <c r="AE7" s="158">
        <v>8878</v>
      </c>
      <c r="AF7" s="158">
        <v>8523</v>
      </c>
      <c r="AG7" s="158">
        <f t="shared" si="10"/>
        <v>17401</v>
      </c>
      <c r="AH7" s="158">
        <f t="shared" si="11"/>
        <v>30579</v>
      </c>
      <c r="AI7" s="158">
        <f t="shared" si="12"/>
        <v>29220</v>
      </c>
      <c r="AJ7" s="158">
        <f t="shared" si="13"/>
        <v>59799</v>
      </c>
      <c r="AK7" s="168">
        <f t="shared" si="14"/>
        <v>120468</v>
      </c>
      <c r="AL7" s="168">
        <f t="shared" si="15"/>
        <v>112556</v>
      </c>
      <c r="AM7" s="168">
        <f t="shared" si="16"/>
        <v>233024</v>
      </c>
      <c r="AN7" s="158">
        <v>6423</v>
      </c>
      <c r="AO7" s="158">
        <v>5752</v>
      </c>
      <c r="AP7" s="158">
        <f t="shared" si="17"/>
        <v>12175</v>
      </c>
      <c r="AQ7" s="158">
        <v>4910</v>
      </c>
      <c r="AR7" s="158">
        <v>4297</v>
      </c>
      <c r="AS7" s="158">
        <f t="shared" si="18"/>
        <v>9207</v>
      </c>
      <c r="AT7" s="158">
        <f t="shared" si="19"/>
        <v>11333</v>
      </c>
      <c r="AU7" s="158">
        <f t="shared" si="20"/>
        <v>10049</v>
      </c>
      <c r="AV7" s="158">
        <f t="shared" si="21"/>
        <v>21382</v>
      </c>
      <c r="AW7" s="168">
        <f t="shared" si="22"/>
        <v>131801</v>
      </c>
      <c r="AX7" s="168">
        <f t="shared" si="23"/>
        <v>122605</v>
      </c>
      <c r="AY7" s="168">
        <f t="shared" si="24"/>
        <v>254406</v>
      </c>
      <c r="AZ7" s="158">
        <v>3030</v>
      </c>
      <c r="BA7" s="158">
        <v>2747</v>
      </c>
      <c r="BB7" s="158">
        <f t="shared" si="25"/>
        <v>5777</v>
      </c>
      <c r="BC7" s="158">
        <v>2418</v>
      </c>
      <c r="BD7" s="158">
        <v>2098</v>
      </c>
      <c r="BE7" s="158">
        <f t="shared" si="26"/>
        <v>4516</v>
      </c>
      <c r="BF7" s="158">
        <f t="shared" si="27"/>
        <v>5448</v>
      </c>
      <c r="BG7" s="158">
        <f t="shared" si="28"/>
        <v>4845</v>
      </c>
      <c r="BH7" s="158">
        <f t="shared" si="29"/>
        <v>10293</v>
      </c>
      <c r="BI7" s="158">
        <f t="shared" si="30"/>
        <v>137249</v>
      </c>
      <c r="BJ7" s="158">
        <f t="shared" si="31"/>
        <v>127450</v>
      </c>
      <c r="BK7" s="158">
        <f t="shared" si="32"/>
        <v>264699</v>
      </c>
      <c r="BL7" s="158">
        <f>D7+V7+AH7+AT7+BF7</f>
        <v>149771</v>
      </c>
      <c r="BM7" s="158">
        <f>E7+W7+AI7+AU7+BG7</f>
        <v>138332</v>
      </c>
      <c r="BN7" s="158">
        <f>BL7+BM7</f>
        <v>288103</v>
      </c>
      <c r="BO7" s="163"/>
      <c r="BP7" s="163"/>
      <c r="BQ7" s="163"/>
    </row>
    <row r="8" spans="2:70" ht="18" customHeight="1">
      <c r="B8" s="169">
        <v>3</v>
      </c>
      <c r="C8" s="229" t="s">
        <v>48</v>
      </c>
      <c r="D8" s="158"/>
      <c r="E8" s="158"/>
      <c r="F8" s="158">
        <f t="shared" si="0"/>
        <v>0</v>
      </c>
      <c r="G8" s="158"/>
      <c r="H8" s="158"/>
      <c r="I8" s="158">
        <f t="shared" si="1"/>
        <v>0</v>
      </c>
      <c r="J8" s="158"/>
      <c r="K8" s="158"/>
      <c r="L8" s="158">
        <f t="shared" si="2"/>
        <v>0</v>
      </c>
      <c r="M8" s="158"/>
      <c r="N8" s="158"/>
      <c r="O8" s="158">
        <f t="shared" si="3"/>
        <v>0</v>
      </c>
      <c r="P8" s="158"/>
      <c r="Q8" s="158"/>
      <c r="R8" s="158">
        <f t="shared" si="4"/>
        <v>0</v>
      </c>
      <c r="S8" s="158"/>
      <c r="T8" s="158"/>
      <c r="U8" s="158">
        <f t="shared" si="5"/>
        <v>0</v>
      </c>
      <c r="V8" s="158">
        <f t="shared" si="6"/>
        <v>0</v>
      </c>
      <c r="W8" s="158">
        <f t="shared" si="7"/>
        <v>0</v>
      </c>
      <c r="X8" s="158">
        <f t="shared" si="8"/>
        <v>0</v>
      </c>
      <c r="Y8" s="158"/>
      <c r="Z8" s="158"/>
      <c r="AA8" s="158">
        <f t="shared" si="9"/>
        <v>0</v>
      </c>
      <c r="AB8" s="158"/>
      <c r="AC8" s="158"/>
      <c r="AD8" s="158">
        <f t="shared" si="33"/>
        <v>0</v>
      </c>
      <c r="AE8" s="158"/>
      <c r="AF8" s="158"/>
      <c r="AG8" s="158">
        <f t="shared" si="10"/>
        <v>0</v>
      </c>
      <c r="AH8" s="158">
        <f t="shared" si="11"/>
        <v>0</v>
      </c>
      <c r="AI8" s="158">
        <f t="shared" si="12"/>
        <v>0</v>
      </c>
      <c r="AJ8" s="158">
        <f t="shared" si="13"/>
        <v>0</v>
      </c>
      <c r="AK8" s="168">
        <f t="shared" si="14"/>
        <v>0</v>
      </c>
      <c r="AL8" s="168">
        <f t="shared" si="15"/>
        <v>0</v>
      </c>
      <c r="AM8" s="168">
        <f t="shared" si="16"/>
        <v>0</v>
      </c>
      <c r="AN8" s="158"/>
      <c r="AO8" s="158"/>
      <c r="AP8" s="158">
        <f t="shared" si="17"/>
        <v>0</v>
      </c>
      <c r="AQ8" s="158"/>
      <c r="AR8" s="158"/>
      <c r="AS8" s="158">
        <f t="shared" si="18"/>
        <v>0</v>
      </c>
      <c r="AT8" s="158">
        <f t="shared" si="19"/>
        <v>0</v>
      </c>
      <c r="AU8" s="158">
        <f t="shared" si="20"/>
        <v>0</v>
      </c>
      <c r="AV8" s="158">
        <f t="shared" si="21"/>
        <v>0</v>
      </c>
      <c r="AW8" s="168">
        <f t="shared" si="22"/>
        <v>0</v>
      </c>
      <c r="AX8" s="168">
        <f t="shared" si="23"/>
        <v>0</v>
      </c>
      <c r="AY8" s="168">
        <f t="shared" si="24"/>
        <v>0</v>
      </c>
      <c r="AZ8" s="158"/>
      <c r="BA8" s="158"/>
      <c r="BB8" s="158">
        <f t="shared" si="25"/>
        <v>0</v>
      </c>
      <c r="BC8" s="158"/>
      <c r="BD8" s="158"/>
      <c r="BE8" s="158">
        <f t="shared" si="26"/>
        <v>0</v>
      </c>
      <c r="BF8" s="158">
        <f t="shared" si="27"/>
        <v>0</v>
      </c>
      <c r="BG8" s="158">
        <f t="shared" si="28"/>
        <v>0</v>
      </c>
      <c r="BH8" s="158">
        <f t="shared" si="29"/>
        <v>0</v>
      </c>
      <c r="BI8" s="158">
        <f t="shared" si="30"/>
        <v>0</v>
      </c>
      <c r="BJ8" s="158">
        <f t="shared" si="31"/>
        <v>0</v>
      </c>
      <c r="BK8" s="158">
        <f t="shared" si="32"/>
        <v>0</v>
      </c>
      <c r="BL8" s="158">
        <f>BJ8+BK8</f>
        <v>0</v>
      </c>
      <c r="BM8" s="158">
        <f>E8+W8+AI8+AU8+BG8</f>
        <v>0</v>
      </c>
      <c r="BN8" s="158">
        <f>F8+X8+AJ8+AV8+BH8</f>
        <v>0</v>
      </c>
      <c r="BO8" s="163"/>
      <c r="BP8" s="163"/>
      <c r="BQ8" s="163"/>
    </row>
    <row r="9" spans="2:70" ht="18" customHeight="1">
      <c r="B9" s="169">
        <v>4</v>
      </c>
      <c r="C9" s="229" t="s">
        <v>18</v>
      </c>
      <c r="D9" s="158"/>
      <c r="E9" s="158"/>
      <c r="F9" s="158">
        <f t="shared" si="0"/>
        <v>0</v>
      </c>
      <c r="G9" s="158"/>
      <c r="H9" s="158"/>
      <c r="I9" s="158">
        <f t="shared" si="1"/>
        <v>0</v>
      </c>
      <c r="J9" s="158"/>
      <c r="K9" s="158"/>
      <c r="L9" s="158">
        <f t="shared" si="2"/>
        <v>0</v>
      </c>
      <c r="M9" s="158"/>
      <c r="N9" s="158"/>
      <c r="O9" s="158">
        <f t="shared" si="3"/>
        <v>0</v>
      </c>
      <c r="P9" s="158"/>
      <c r="Q9" s="158"/>
      <c r="R9" s="158">
        <f t="shared" si="4"/>
        <v>0</v>
      </c>
      <c r="S9" s="158"/>
      <c r="T9" s="158"/>
      <c r="U9" s="158">
        <f t="shared" si="5"/>
        <v>0</v>
      </c>
      <c r="V9" s="158">
        <f t="shared" si="6"/>
        <v>0</v>
      </c>
      <c r="W9" s="158">
        <f t="shared" si="7"/>
        <v>0</v>
      </c>
      <c r="X9" s="158">
        <f t="shared" si="8"/>
        <v>0</v>
      </c>
      <c r="Y9" s="158"/>
      <c r="Z9" s="158"/>
      <c r="AA9" s="158">
        <f t="shared" si="9"/>
        <v>0</v>
      </c>
      <c r="AB9" s="158"/>
      <c r="AC9" s="158"/>
      <c r="AD9" s="158">
        <f t="shared" si="33"/>
        <v>0</v>
      </c>
      <c r="AE9" s="158"/>
      <c r="AF9" s="158"/>
      <c r="AG9" s="158">
        <f t="shared" si="10"/>
        <v>0</v>
      </c>
      <c r="AH9" s="158">
        <f t="shared" si="11"/>
        <v>0</v>
      </c>
      <c r="AI9" s="158">
        <f t="shared" si="12"/>
        <v>0</v>
      </c>
      <c r="AJ9" s="158">
        <f t="shared" si="13"/>
        <v>0</v>
      </c>
      <c r="AK9" s="168">
        <f t="shared" si="14"/>
        <v>0</v>
      </c>
      <c r="AL9" s="168">
        <f t="shared" si="15"/>
        <v>0</v>
      </c>
      <c r="AM9" s="168">
        <f t="shared" si="16"/>
        <v>0</v>
      </c>
      <c r="AN9" s="158"/>
      <c r="AO9" s="158"/>
      <c r="AP9" s="158">
        <f t="shared" si="17"/>
        <v>0</v>
      </c>
      <c r="AQ9" s="158"/>
      <c r="AR9" s="158"/>
      <c r="AS9" s="158">
        <f t="shared" si="18"/>
        <v>0</v>
      </c>
      <c r="AT9" s="158">
        <f t="shared" si="19"/>
        <v>0</v>
      </c>
      <c r="AU9" s="158">
        <f t="shared" si="20"/>
        <v>0</v>
      </c>
      <c r="AV9" s="158">
        <f t="shared" si="21"/>
        <v>0</v>
      </c>
      <c r="AW9" s="168">
        <f t="shared" si="22"/>
        <v>0</v>
      </c>
      <c r="AX9" s="168">
        <f t="shared" si="23"/>
        <v>0</v>
      </c>
      <c r="AY9" s="168">
        <f t="shared" si="24"/>
        <v>0</v>
      </c>
      <c r="AZ9" s="178"/>
      <c r="BA9" s="178"/>
      <c r="BB9" s="178">
        <f t="shared" si="25"/>
        <v>0</v>
      </c>
      <c r="BC9" s="178"/>
      <c r="BD9" s="178"/>
      <c r="BE9" s="178">
        <f t="shared" si="26"/>
        <v>0</v>
      </c>
      <c r="BF9" s="178">
        <f t="shared" si="27"/>
        <v>0</v>
      </c>
      <c r="BG9" s="178">
        <f t="shared" si="28"/>
        <v>0</v>
      </c>
      <c r="BH9" s="178">
        <f t="shared" si="29"/>
        <v>0</v>
      </c>
      <c r="BI9" s="158">
        <f t="shared" si="30"/>
        <v>0</v>
      </c>
      <c r="BJ9" s="158">
        <f t="shared" si="31"/>
        <v>0</v>
      </c>
      <c r="BK9" s="158">
        <f t="shared" si="32"/>
        <v>0</v>
      </c>
      <c r="BL9" s="158">
        <f t="shared" ref="BL9:BL41" si="34">D9+V9+AH9+AT9+BF9</f>
        <v>0</v>
      </c>
      <c r="BM9" s="158">
        <f t="shared" ref="BM9:BM41" si="35">E9+W9+AI9+AU9+BG9</f>
        <v>0</v>
      </c>
      <c r="BN9" s="158">
        <f t="shared" ref="BN9:BN41" si="36">BL9+BM9</f>
        <v>0</v>
      </c>
      <c r="BO9" s="163"/>
      <c r="BP9" s="163"/>
      <c r="BQ9" s="163"/>
    </row>
    <row r="10" spans="2:70" ht="18" customHeight="1">
      <c r="B10" s="169">
        <v>5</v>
      </c>
      <c r="C10" s="230" t="s">
        <v>19</v>
      </c>
      <c r="D10" s="158">
        <v>10210</v>
      </c>
      <c r="E10" s="158">
        <v>8310</v>
      </c>
      <c r="F10" s="158">
        <f t="shared" si="0"/>
        <v>18520</v>
      </c>
      <c r="G10" s="158">
        <v>266395</v>
      </c>
      <c r="H10" s="158">
        <v>251319</v>
      </c>
      <c r="I10" s="158">
        <f t="shared" si="1"/>
        <v>517714</v>
      </c>
      <c r="J10" s="158">
        <v>251141</v>
      </c>
      <c r="K10" s="158">
        <v>240798</v>
      </c>
      <c r="L10" s="158">
        <f t="shared" si="2"/>
        <v>491939</v>
      </c>
      <c r="M10" s="158">
        <v>231556</v>
      </c>
      <c r="N10" s="158">
        <v>215563</v>
      </c>
      <c r="O10" s="158">
        <f t="shared" si="3"/>
        <v>447119</v>
      </c>
      <c r="P10" s="158">
        <v>218732</v>
      </c>
      <c r="Q10" s="158">
        <v>204256</v>
      </c>
      <c r="R10" s="158">
        <f t="shared" si="4"/>
        <v>422988</v>
      </c>
      <c r="S10" s="158">
        <v>209823</v>
      </c>
      <c r="T10" s="158">
        <v>196319</v>
      </c>
      <c r="U10" s="158">
        <f t="shared" si="5"/>
        <v>406142</v>
      </c>
      <c r="V10" s="158">
        <f t="shared" si="6"/>
        <v>1177647</v>
      </c>
      <c r="W10" s="158">
        <f t="shared" si="7"/>
        <v>1108255</v>
      </c>
      <c r="X10" s="158">
        <f t="shared" si="8"/>
        <v>2285902</v>
      </c>
      <c r="Y10" s="158">
        <v>185023</v>
      </c>
      <c r="Z10" s="158">
        <v>165198</v>
      </c>
      <c r="AA10" s="158">
        <f t="shared" si="9"/>
        <v>350221</v>
      </c>
      <c r="AB10" s="158">
        <v>164439</v>
      </c>
      <c r="AC10" s="158">
        <v>149513</v>
      </c>
      <c r="AD10" s="158">
        <f t="shared" si="33"/>
        <v>313952</v>
      </c>
      <c r="AE10" s="158">
        <v>150835</v>
      </c>
      <c r="AF10" s="158">
        <v>136803</v>
      </c>
      <c r="AG10" s="158">
        <f t="shared" si="10"/>
        <v>287638</v>
      </c>
      <c r="AH10" s="158">
        <f t="shared" si="11"/>
        <v>500297</v>
      </c>
      <c r="AI10" s="158">
        <f t="shared" si="12"/>
        <v>451514</v>
      </c>
      <c r="AJ10" s="158">
        <f t="shared" si="13"/>
        <v>951811</v>
      </c>
      <c r="AK10" s="168">
        <f t="shared" si="14"/>
        <v>1677944</v>
      </c>
      <c r="AL10" s="168">
        <f t="shared" si="15"/>
        <v>1559769</v>
      </c>
      <c r="AM10" s="168">
        <f t="shared" si="16"/>
        <v>3237713</v>
      </c>
      <c r="AN10" s="158">
        <v>153583</v>
      </c>
      <c r="AO10" s="158">
        <v>131840</v>
      </c>
      <c r="AP10" s="158">
        <f t="shared" si="17"/>
        <v>285423</v>
      </c>
      <c r="AQ10" s="158">
        <v>133813</v>
      </c>
      <c r="AR10" s="158">
        <v>118777</v>
      </c>
      <c r="AS10" s="158">
        <f t="shared" si="18"/>
        <v>252590</v>
      </c>
      <c r="AT10" s="158">
        <f t="shared" si="19"/>
        <v>287396</v>
      </c>
      <c r="AU10" s="158">
        <f t="shared" si="20"/>
        <v>250617</v>
      </c>
      <c r="AV10" s="158">
        <f t="shared" si="21"/>
        <v>538013</v>
      </c>
      <c r="AW10" s="168">
        <f t="shared" si="22"/>
        <v>1965340</v>
      </c>
      <c r="AX10" s="168">
        <f t="shared" si="23"/>
        <v>1810386</v>
      </c>
      <c r="AY10" s="168">
        <f t="shared" si="24"/>
        <v>3775726</v>
      </c>
      <c r="AZ10" s="158">
        <v>77429</v>
      </c>
      <c r="BA10" s="158">
        <v>67073</v>
      </c>
      <c r="BB10" s="158">
        <f t="shared" si="25"/>
        <v>144502</v>
      </c>
      <c r="BC10" s="158">
        <v>75158</v>
      </c>
      <c r="BD10" s="158">
        <v>66803</v>
      </c>
      <c r="BE10" s="158">
        <f t="shared" si="26"/>
        <v>141961</v>
      </c>
      <c r="BF10" s="158">
        <f t="shared" si="27"/>
        <v>152587</v>
      </c>
      <c r="BG10" s="158">
        <f t="shared" si="28"/>
        <v>133876</v>
      </c>
      <c r="BH10" s="158">
        <f t="shared" si="29"/>
        <v>286463</v>
      </c>
      <c r="BI10" s="158">
        <f t="shared" si="30"/>
        <v>2117927</v>
      </c>
      <c r="BJ10" s="158">
        <f t="shared" si="31"/>
        <v>1944262</v>
      </c>
      <c r="BK10" s="158">
        <f t="shared" si="32"/>
        <v>4062189</v>
      </c>
      <c r="BL10" s="158">
        <f t="shared" si="34"/>
        <v>2128137</v>
      </c>
      <c r="BM10" s="158">
        <f t="shared" si="35"/>
        <v>1952572</v>
      </c>
      <c r="BN10" s="158">
        <f t="shared" si="36"/>
        <v>4080709</v>
      </c>
      <c r="BO10" s="163"/>
      <c r="BP10" s="163"/>
      <c r="BQ10" s="163"/>
    </row>
    <row r="11" spans="2:70" ht="18" customHeight="1">
      <c r="B11" s="169">
        <v>6</v>
      </c>
      <c r="C11" s="229" t="s">
        <v>20</v>
      </c>
      <c r="D11" s="170">
        <v>0</v>
      </c>
      <c r="E11" s="170">
        <v>0</v>
      </c>
      <c r="F11" s="158">
        <f t="shared" si="0"/>
        <v>0</v>
      </c>
      <c r="G11" s="170">
        <v>8015</v>
      </c>
      <c r="H11" s="170">
        <v>7280</v>
      </c>
      <c r="I11" s="158">
        <f t="shared" si="1"/>
        <v>15295</v>
      </c>
      <c r="J11" s="170">
        <v>7810</v>
      </c>
      <c r="K11" s="170">
        <v>7139</v>
      </c>
      <c r="L11" s="158">
        <f t="shared" si="2"/>
        <v>14949</v>
      </c>
      <c r="M11" s="170">
        <v>7605</v>
      </c>
      <c r="N11" s="170">
        <v>6882</v>
      </c>
      <c r="O11" s="158">
        <f t="shared" si="3"/>
        <v>14487</v>
      </c>
      <c r="P11" s="170">
        <v>7723</v>
      </c>
      <c r="Q11" s="170">
        <v>7027</v>
      </c>
      <c r="R11" s="158">
        <f t="shared" si="4"/>
        <v>14750</v>
      </c>
      <c r="S11" s="170">
        <v>7359</v>
      </c>
      <c r="T11" s="170">
        <v>6635</v>
      </c>
      <c r="U11" s="158">
        <f t="shared" si="5"/>
        <v>13994</v>
      </c>
      <c r="V11" s="158">
        <f t="shared" si="6"/>
        <v>38512</v>
      </c>
      <c r="W11" s="158">
        <f t="shared" si="7"/>
        <v>34963</v>
      </c>
      <c r="X11" s="158">
        <f t="shared" si="8"/>
        <v>73475</v>
      </c>
      <c r="Y11" s="170">
        <v>8304</v>
      </c>
      <c r="Z11" s="170">
        <v>7134</v>
      </c>
      <c r="AA11" s="158">
        <f t="shared" si="9"/>
        <v>15438</v>
      </c>
      <c r="AB11" s="170">
        <v>7430</v>
      </c>
      <c r="AC11" s="170">
        <v>6539</v>
      </c>
      <c r="AD11" s="158">
        <f t="shared" si="33"/>
        <v>13969</v>
      </c>
      <c r="AE11" s="170">
        <v>6711</v>
      </c>
      <c r="AF11" s="170">
        <v>5895</v>
      </c>
      <c r="AG11" s="158">
        <f t="shared" si="10"/>
        <v>12606</v>
      </c>
      <c r="AH11" s="158">
        <f t="shared" si="11"/>
        <v>22445</v>
      </c>
      <c r="AI11" s="158">
        <f t="shared" si="12"/>
        <v>19568</v>
      </c>
      <c r="AJ11" s="158">
        <f t="shared" si="13"/>
        <v>42013</v>
      </c>
      <c r="AK11" s="168">
        <f t="shared" si="14"/>
        <v>60957</v>
      </c>
      <c r="AL11" s="168">
        <f t="shared" si="15"/>
        <v>54531</v>
      </c>
      <c r="AM11" s="168">
        <f t="shared" si="16"/>
        <v>115488</v>
      </c>
      <c r="AN11" s="170">
        <v>7708</v>
      </c>
      <c r="AO11" s="170">
        <v>6786</v>
      </c>
      <c r="AP11" s="158">
        <f t="shared" si="17"/>
        <v>14494</v>
      </c>
      <c r="AQ11" s="170">
        <v>4409</v>
      </c>
      <c r="AR11" s="170">
        <v>3981</v>
      </c>
      <c r="AS11" s="158">
        <f t="shared" si="18"/>
        <v>8390</v>
      </c>
      <c r="AT11" s="158">
        <f t="shared" si="19"/>
        <v>12117</v>
      </c>
      <c r="AU11" s="158">
        <f t="shared" si="20"/>
        <v>10767</v>
      </c>
      <c r="AV11" s="158">
        <f t="shared" si="21"/>
        <v>22884</v>
      </c>
      <c r="AW11" s="168">
        <f t="shared" si="22"/>
        <v>73074</v>
      </c>
      <c r="AX11" s="168">
        <f t="shared" si="23"/>
        <v>65298</v>
      </c>
      <c r="AY11" s="168">
        <f t="shared" si="24"/>
        <v>138372</v>
      </c>
      <c r="AZ11" s="170">
        <v>4397</v>
      </c>
      <c r="BA11" s="170">
        <v>3894</v>
      </c>
      <c r="BB11" s="158">
        <f t="shared" si="25"/>
        <v>8291</v>
      </c>
      <c r="BC11" s="170">
        <v>3670</v>
      </c>
      <c r="BD11" s="170">
        <v>3545</v>
      </c>
      <c r="BE11" s="158">
        <f t="shared" si="26"/>
        <v>7215</v>
      </c>
      <c r="BF11" s="158">
        <f t="shared" si="27"/>
        <v>8067</v>
      </c>
      <c r="BG11" s="158">
        <f t="shared" si="28"/>
        <v>7439</v>
      </c>
      <c r="BH11" s="158">
        <f t="shared" si="29"/>
        <v>15506</v>
      </c>
      <c r="BI11" s="158">
        <f t="shared" si="30"/>
        <v>81141</v>
      </c>
      <c r="BJ11" s="158">
        <f t="shared" si="31"/>
        <v>72737</v>
      </c>
      <c r="BK11" s="158">
        <f t="shared" si="32"/>
        <v>153878</v>
      </c>
      <c r="BL11" s="158">
        <f t="shared" si="34"/>
        <v>81141</v>
      </c>
      <c r="BM11" s="158">
        <f t="shared" si="35"/>
        <v>72737</v>
      </c>
      <c r="BN11" s="158">
        <f t="shared" si="36"/>
        <v>153878</v>
      </c>
      <c r="BO11" s="163"/>
      <c r="BP11" s="163"/>
      <c r="BQ11" s="163"/>
    </row>
    <row r="12" spans="2:70" ht="18" customHeight="1">
      <c r="B12" s="169">
        <v>7</v>
      </c>
      <c r="C12" s="229" t="s">
        <v>21</v>
      </c>
      <c r="D12" s="158"/>
      <c r="E12" s="158"/>
      <c r="F12" s="158">
        <f t="shared" si="0"/>
        <v>0</v>
      </c>
      <c r="G12" s="158"/>
      <c r="H12" s="158"/>
      <c r="I12" s="158">
        <f t="shared" si="1"/>
        <v>0</v>
      </c>
      <c r="J12" s="158"/>
      <c r="K12" s="158"/>
      <c r="L12" s="158">
        <f t="shared" si="2"/>
        <v>0</v>
      </c>
      <c r="M12" s="158"/>
      <c r="N12" s="158"/>
      <c r="O12" s="158">
        <f t="shared" si="3"/>
        <v>0</v>
      </c>
      <c r="P12" s="171"/>
      <c r="Q12" s="158"/>
      <c r="R12" s="158">
        <f t="shared" si="4"/>
        <v>0</v>
      </c>
      <c r="S12" s="158"/>
      <c r="T12" s="158"/>
      <c r="U12" s="158">
        <f t="shared" si="5"/>
        <v>0</v>
      </c>
      <c r="V12" s="158">
        <f t="shared" si="6"/>
        <v>0</v>
      </c>
      <c r="W12" s="158">
        <f t="shared" si="7"/>
        <v>0</v>
      </c>
      <c r="X12" s="158">
        <f t="shared" si="8"/>
        <v>0</v>
      </c>
      <c r="Y12" s="158"/>
      <c r="Z12" s="158"/>
      <c r="AA12" s="158">
        <f t="shared" si="9"/>
        <v>0</v>
      </c>
      <c r="AB12" s="158"/>
      <c r="AC12" s="158"/>
      <c r="AD12" s="158">
        <f t="shared" si="33"/>
        <v>0</v>
      </c>
      <c r="AE12" s="158"/>
      <c r="AF12" s="158"/>
      <c r="AG12" s="158">
        <f t="shared" si="10"/>
        <v>0</v>
      </c>
      <c r="AH12" s="158">
        <f t="shared" si="11"/>
        <v>0</v>
      </c>
      <c r="AI12" s="158">
        <f t="shared" si="12"/>
        <v>0</v>
      </c>
      <c r="AJ12" s="158">
        <f t="shared" si="13"/>
        <v>0</v>
      </c>
      <c r="AK12" s="168">
        <f t="shared" si="14"/>
        <v>0</v>
      </c>
      <c r="AL12" s="168">
        <f t="shared" si="15"/>
        <v>0</v>
      </c>
      <c r="AM12" s="168">
        <f t="shared" si="16"/>
        <v>0</v>
      </c>
      <c r="AN12" s="158"/>
      <c r="AO12" s="158"/>
      <c r="AP12" s="158">
        <f t="shared" si="17"/>
        <v>0</v>
      </c>
      <c r="AQ12" s="158"/>
      <c r="AR12" s="158"/>
      <c r="AS12" s="158">
        <f t="shared" si="18"/>
        <v>0</v>
      </c>
      <c r="AT12" s="158">
        <f t="shared" si="19"/>
        <v>0</v>
      </c>
      <c r="AU12" s="158">
        <f t="shared" si="20"/>
        <v>0</v>
      </c>
      <c r="AV12" s="158">
        <f t="shared" si="21"/>
        <v>0</v>
      </c>
      <c r="AW12" s="168">
        <f t="shared" si="22"/>
        <v>0</v>
      </c>
      <c r="AX12" s="168">
        <f t="shared" si="23"/>
        <v>0</v>
      </c>
      <c r="AY12" s="168">
        <f t="shared" si="24"/>
        <v>0</v>
      </c>
      <c r="AZ12" s="158"/>
      <c r="BA12" s="158"/>
      <c r="BB12" s="158">
        <f t="shared" si="25"/>
        <v>0</v>
      </c>
      <c r="BC12" s="158"/>
      <c r="BD12" s="158"/>
      <c r="BE12" s="158">
        <f t="shared" si="26"/>
        <v>0</v>
      </c>
      <c r="BF12" s="158">
        <f t="shared" si="27"/>
        <v>0</v>
      </c>
      <c r="BG12" s="158">
        <f t="shared" si="28"/>
        <v>0</v>
      </c>
      <c r="BH12" s="158">
        <f t="shared" si="29"/>
        <v>0</v>
      </c>
      <c r="BI12" s="158">
        <f t="shared" si="30"/>
        <v>0</v>
      </c>
      <c r="BJ12" s="158">
        <f t="shared" si="31"/>
        <v>0</v>
      </c>
      <c r="BK12" s="158">
        <f t="shared" si="32"/>
        <v>0</v>
      </c>
      <c r="BL12" s="158">
        <f t="shared" si="34"/>
        <v>0</v>
      </c>
      <c r="BM12" s="158">
        <f t="shared" si="35"/>
        <v>0</v>
      </c>
      <c r="BN12" s="158">
        <f t="shared" si="36"/>
        <v>0</v>
      </c>
      <c r="BO12" s="163"/>
      <c r="BP12" s="163"/>
      <c r="BQ12" s="163"/>
    </row>
    <row r="13" spans="2:70" ht="18" customHeight="1">
      <c r="B13" s="169">
        <v>8</v>
      </c>
      <c r="C13" s="229" t="s">
        <v>22</v>
      </c>
      <c r="D13" s="158"/>
      <c r="E13" s="158"/>
      <c r="F13" s="158">
        <f t="shared" si="0"/>
        <v>0</v>
      </c>
      <c r="G13" s="158"/>
      <c r="H13" s="158"/>
      <c r="I13" s="158">
        <f t="shared" si="1"/>
        <v>0</v>
      </c>
      <c r="J13" s="158"/>
      <c r="K13" s="158"/>
      <c r="L13" s="158">
        <f t="shared" si="2"/>
        <v>0</v>
      </c>
      <c r="M13" s="158"/>
      <c r="N13" s="158"/>
      <c r="O13" s="158">
        <f t="shared" si="3"/>
        <v>0</v>
      </c>
      <c r="P13" s="175"/>
      <c r="Q13" s="158"/>
      <c r="R13" s="158">
        <f t="shared" si="4"/>
        <v>0</v>
      </c>
      <c r="S13" s="158"/>
      <c r="T13" s="158"/>
      <c r="U13" s="158">
        <f t="shared" si="5"/>
        <v>0</v>
      </c>
      <c r="V13" s="158">
        <f t="shared" si="6"/>
        <v>0</v>
      </c>
      <c r="W13" s="158">
        <f t="shared" si="7"/>
        <v>0</v>
      </c>
      <c r="X13" s="158">
        <f t="shared" si="8"/>
        <v>0</v>
      </c>
      <c r="Y13" s="158"/>
      <c r="Z13" s="158"/>
      <c r="AA13" s="158">
        <f t="shared" si="9"/>
        <v>0</v>
      </c>
      <c r="AB13" s="158"/>
      <c r="AC13" s="158"/>
      <c r="AD13" s="158">
        <f t="shared" si="33"/>
        <v>0</v>
      </c>
      <c r="AE13" s="158"/>
      <c r="AF13" s="158"/>
      <c r="AG13" s="158">
        <f t="shared" si="10"/>
        <v>0</v>
      </c>
      <c r="AH13" s="158">
        <f t="shared" si="11"/>
        <v>0</v>
      </c>
      <c r="AI13" s="158">
        <f t="shared" si="12"/>
        <v>0</v>
      </c>
      <c r="AJ13" s="158">
        <f t="shared" si="13"/>
        <v>0</v>
      </c>
      <c r="AK13" s="168">
        <f t="shared" si="14"/>
        <v>0</v>
      </c>
      <c r="AL13" s="168">
        <f t="shared" si="15"/>
        <v>0</v>
      </c>
      <c r="AM13" s="168">
        <f t="shared" si="16"/>
        <v>0</v>
      </c>
      <c r="AN13" s="158"/>
      <c r="AO13" s="158"/>
      <c r="AP13" s="158">
        <f t="shared" si="17"/>
        <v>0</v>
      </c>
      <c r="AQ13" s="158"/>
      <c r="AR13" s="158"/>
      <c r="AS13" s="158">
        <f t="shared" si="18"/>
        <v>0</v>
      </c>
      <c r="AT13" s="158">
        <f t="shared" si="19"/>
        <v>0</v>
      </c>
      <c r="AU13" s="158">
        <f t="shared" si="20"/>
        <v>0</v>
      </c>
      <c r="AV13" s="158">
        <f t="shared" si="21"/>
        <v>0</v>
      </c>
      <c r="AW13" s="168">
        <f t="shared" si="22"/>
        <v>0</v>
      </c>
      <c r="AX13" s="168">
        <f t="shared" si="23"/>
        <v>0</v>
      </c>
      <c r="AY13" s="168">
        <f t="shared" si="24"/>
        <v>0</v>
      </c>
      <c r="AZ13" s="158"/>
      <c r="BA13" s="158"/>
      <c r="BB13" s="158">
        <f t="shared" si="25"/>
        <v>0</v>
      </c>
      <c r="BC13" s="158"/>
      <c r="BD13" s="158"/>
      <c r="BE13" s="158">
        <f t="shared" si="26"/>
        <v>0</v>
      </c>
      <c r="BF13" s="158">
        <f t="shared" si="27"/>
        <v>0</v>
      </c>
      <c r="BG13" s="158">
        <f t="shared" si="28"/>
        <v>0</v>
      </c>
      <c r="BH13" s="158">
        <f t="shared" si="29"/>
        <v>0</v>
      </c>
      <c r="BI13" s="158">
        <f t="shared" si="30"/>
        <v>0</v>
      </c>
      <c r="BJ13" s="158">
        <f t="shared" si="31"/>
        <v>0</v>
      </c>
      <c r="BK13" s="158">
        <f t="shared" si="32"/>
        <v>0</v>
      </c>
      <c r="BL13" s="158">
        <f t="shared" si="34"/>
        <v>0</v>
      </c>
      <c r="BM13" s="158">
        <f t="shared" si="35"/>
        <v>0</v>
      </c>
      <c r="BN13" s="158">
        <f t="shared" si="36"/>
        <v>0</v>
      </c>
      <c r="BO13" s="163"/>
      <c r="BP13" s="163"/>
      <c r="BQ13" s="163"/>
    </row>
    <row r="14" spans="2:70" ht="18" customHeight="1">
      <c r="B14" s="169">
        <v>9</v>
      </c>
      <c r="C14" s="229" t="s">
        <v>23</v>
      </c>
      <c r="D14" s="158"/>
      <c r="E14" s="158"/>
      <c r="F14" s="158">
        <f t="shared" si="0"/>
        <v>0</v>
      </c>
      <c r="G14" s="158"/>
      <c r="H14" s="158"/>
      <c r="I14" s="158">
        <f t="shared" si="1"/>
        <v>0</v>
      </c>
      <c r="J14" s="158"/>
      <c r="K14" s="158"/>
      <c r="L14" s="158">
        <f t="shared" si="2"/>
        <v>0</v>
      </c>
      <c r="M14" s="158"/>
      <c r="N14" s="158"/>
      <c r="O14" s="158">
        <f t="shared" si="3"/>
        <v>0</v>
      </c>
      <c r="P14" s="171"/>
      <c r="Q14" s="158"/>
      <c r="R14" s="158">
        <f t="shared" si="4"/>
        <v>0</v>
      </c>
      <c r="S14" s="158"/>
      <c r="T14" s="158"/>
      <c r="U14" s="158">
        <f t="shared" si="5"/>
        <v>0</v>
      </c>
      <c r="V14" s="158">
        <f t="shared" si="6"/>
        <v>0</v>
      </c>
      <c r="W14" s="158">
        <f t="shared" si="7"/>
        <v>0</v>
      </c>
      <c r="X14" s="158">
        <f t="shared" si="8"/>
        <v>0</v>
      </c>
      <c r="Y14" s="158"/>
      <c r="Z14" s="158"/>
      <c r="AA14" s="158">
        <f t="shared" si="9"/>
        <v>0</v>
      </c>
      <c r="AB14" s="158"/>
      <c r="AC14" s="158"/>
      <c r="AD14" s="158">
        <f t="shared" si="33"/>
        <v>0</v>
      </c>
      <c r="AE14" s="158"/>
      <c r="AF14" s="158"/>
      <c r="AG14" s="158">
        <f t="shared" si="10"/>
        <v>0</v>
      </c>
      <c r="AH14" s="158">
        <f t="shared" si="11"/>
        <v>0</v>
      </c>
      <c r="AI14" s="158">
        <f t="shared" si="12"/>
        <v>0</v>
      </c>
      <c r="AJ14" s="158">
        <f t="shared" si="13"/>
        <v>0</v>
      </c>
      <c r="AK14" s="168">
        <f t="shared" si="14"/>
        <v>0</v>
      </c>
      <c r="AL14" s="168">
        <f t="shared" si="15"/>
        <v>0</v>
      </c>
      <c r="AM14" s="168">
        <f t="shared" si="16"/>
        <v>0</v>
      </c>
      <c r="AN14" s="158"/>
      <c r="AO14" s="158"/>
      <c r="AP14" s="158">
        <f t="shared" si="17"/>
        <v>0</v>
      </c>
      <c r="AQ14" s="158"/>
      <c r="AR14" s="158"/>
      <c r="AS14" s="158">
        <f t="shared" si="18"/>
        <v>0</v>
      </c>
      <c r="AT14" s="158">
        <f t="shared" si="19"/>
        <v>0</v>
      </c>
      <c r="AU14" s="158">
        <f t="shared" si="20"/>
        <v>0</v>
      </c>
      <c r="AV14" s="158">
        <f t="shared" si="21"/>
        <v>0</v>
      </c>
      <c r="AW14" s="168">
        <f t="shared" si="22"/>
        <v>0</v>
      </c>
      <c r="AX14" s="168">
        <f t="shared" si="23"/>
        <v>0</v>
      </c>
      <c r="AY14" s="168">
        <f t="shared" si="24"/>
        <v>0</v>
      </c>
      <c r="AZ14" s="158"/>
      <c r="BA14" s="158"/>
      <c r="BB14" s="158">
        <f t="shared" si="25"/>
        <v>0</v>
      </c>
      <c r="BC14" s="158"/>
      <c r="BD14" s="158"/>
      <c r="BE14" s="158">
        <f t="shared" si="26"/>
        <v>0</v>
      </c>
      <c r="BF14" s="158">
        <f t="shared" si="27"/>
        <v>0</v>
      </c>
      <c r="BG14" s="158">
        <f t="shared" si="28"/>
        <v>0</v>
      </c>
      <c r="BH14" s="158">
        <f t="shared" si="29"/>
        <v>0</v>
      </c>
      <c r="BI14" s="158">
        <f t="shared" si="30"/>
        <v>0</v>
      </c>
      <c r="BJ14" s="158">
        <f t="shared" si="31"/>
        <v>0</v>
      </c>
      <c r="BK14" s="158">
        <f t="shared" si="32"/>
        <v>0</v>
      </c>
      <c r="BL14" s="158">
        <f t="shared" si="34"/>
        <v>0</v>
      </c>
      <c r="BM14" s="158">
        <f t="shared" si="35"/>
        <v>0</v>
      </c>
      <c r="BN14" s="158">
        <f t="shared" si="36"/>
        <v>0</v>
      </c>
      <c r="BO14" s="163"/>
      <c r="BP14" s="163"/>
      <c r="BQ14" s="163"/>
    </row>
    <row r="15" spans="2:70" s="244" customFormat="1" ht="18" customHeight="1">
      <c r="B15" s="240">
        <v>10</v>
      </c>
      <c r="C15" s="241" t="s">
        <v>51</v>
      </c>
      <c r="D15" s="242"/>
      <c r="E15" s="242"/>
      <c r="F15" s="242">
        <f t="shared" si="0"/>
        <v>0</v>
      </c>
      <c r="G15" s="242"/>
      <c r="H15" s="242"/>
      <c r="I15" s="242">
        <f t="shared" si="1"/>
        <v>0</v>
      </c>
      <c r="J15" s="242"/>
      <c r="K15" s="242"/>
      <c r="L15" s="242">
        <f t="shared" si="2"/>
        <v>0</v>
      </c>
      <c r="M15" s="242"/>
      <c r="N15" s="242"/>
      <c r="O15" s="242">
        <f t="shared" si="3"/>
        <v>0</v>
      </c>
      <c r="P15" s="242"/>
      <c r="Q15" s="242"/>
      <c r="R15" s="242">
        <f t="shared" si="4"/>
        <v>0</v>
      </c>
      <c r="S15" s="242"/>
      <c r="T15" s="242"/>
      <c r="U15" s="242">
        <f t="shared" si="5"/>
        <v>0</v>
      </c>
      <c r="V15" s="242">
        <f t="shared" si="6"/>
        <v>0</v>
      </c>
      <c r="W15" s="242">
        <f t="shared" si="7"/>
        <v>0</v>
      </c>
      <c r="X15" s="242">
        <f t="shared" si="8"/>
        <v>0</v>
      </c>
      <c r="Y15" s="242"/>
      <c r="Z15" s="242"/>
      <c r="AA15" s="242">
        <f t="shared" si="9"/>
        <v>0</v>
      </c>
      <c r="AB15" s="242"/>
      <c r="AC15" s="242"/>
      <c r="AD15" s="242">
        <f t="shared" si="33"/>
        <v>0</v>
      </c>
      <c r="AE15" s="242"/>
      <c r="AF15" s="242"/>
      <c r="AG15" s="242">
        <f t="shared" si="10"/>
        <v>0</v>
      </c>
      <c r="AH15" s="242">
        <f t="shared" si="11"/>
        <v>0</v>
      </c>
      <c r="AI15" s="242">
        <f t="shared" si="12"/>
        <v>0</v>
      </c>
      <c r="AJ15" s="242">
        <f t="shared" si="13"/>
        <v>0</v>
      </c>
      <c r="AK15" s="242">
        <f t="shared" si="14"/>
        <v>0</v>
      </c>
      <c r="AL15" s="242">
        <f t="shared" si="15"/>
        <v>0</v>
      </c>
      <c r="AM15" s="242">
        <f t="shared" si="16"/>
        <v>0</v>
      </c>
      <c r="AN15" s="242"/>
      <c r="AO15" s="242"/>
      <c r="AP15" s="242">
        <f t="shared" si="17"/>
        <v>0</v>
      </c>
      <c r="AQ15" s="242"/>
      <c r="AR15" s="242"/>
      <c r="AS15" s="242">
        <f t="shared" si="18"/>
        <v>0</v>
      </c>
      <c r="AT15" s="242">
        <f t="shared" si="19"/>
        <v>0</v>
      </c>
      <c r="AU15" s="242">
        <f t="shared" si="20"/>
        <v>0</v>
      </c>
      <c r="AV15" s="242">
        <f t="shared" si="21"/>
        <v>0</v>
      </c>
      <c r="AW15" s="242">
        <f t="shared" si="22"/>
        <v>0</v>
      </c>
      <c r="AX15" s="242">
        <f t="shared" si="23"/>
        <v>0</v>
      </c>
      <c r="AY15" s="242">
        <f t="shared" si="24"/>
        <v>0</v>
      </c>
      <c r="AZ15" s="242"/>
      <c r="BA15" s="242"/>
      <c r="BB15" s="242">
        <f t="shared" si="25"/>
        <v>0</v>
      </c>
      <c r="BC15" s="242"/>
      <c r="BD15" s="242"/>
      <c r="BE15" s="242">
        <f t="shared" si="26"/>
        <v>0</v>
      </c>
      <c r="BF15" s="242">
        <f t="shared" si="27"/>
        <v>0</v>
      </c>
      <c r="BG15" s="242">
        <f t="shared" si="28"/>
        <v>0</v>
      </c>
      <c r="BH15" s="242">
        <f t="shared" si="29"/>
        <v>0</v>
      </c>
      <c r="BI15" s="242">
        <f t="shared" si="30"/>
        <v>0</v>
      </c>
      <c r="BJ15" s="242">
        <f t="shared" si="31"/>
        <v>0</v>
      </c>
      <c r="BK15" s="242">
        <f t="shared" si="32"/>
        <v>0</v>
      </c>
      <c r="BL15" s="242">
        <f t="shared" si="34"/>
        <v>0</v>
      </c>
      <c r="BM15" s="242">
        <f t="shared" si="35"/>
        <v>0</v>
      </c>
      <c r="BN15" s="242">
        <f t="shared" si="36"/>
        <v>0</v>
      </c>
      <c r="BO15" s="243"/>
      <c r="BP15" s="243"/>
      <c r="BQ15" s="243"/>
    </row>
    <row r="16" spans="2:70" s="244" customFormat="1" ht="18" customHeight="1">
      <c r="B16" s="240">
        <v>11</v>
      </c>
      <c r="C16" s="241" t="s">
        <v>52</v>
      </c>
      <c r="D16" s="245"/>
      <c r="E16" s="245"/>
      <c r="F16" s="242">
        <f t="shared" si="0"/>
        <v>0</v>
      </c>
      <c r="G16" s="245"/>
      <c r="H16" s="245"/>
      <c r="I16" s="242">
        <f t="shared" si="1"/>
        <v>0</v>
      </c>
      <c r="J16" s="245"/>
      <c r="K16" s="245"/>
      <c r="L16" s="242">
        <f t="shared" si="2"/>
        <v>0</v>
      </c>
      <c r="M16" s="245"/>
      <c r="N16" s="245"/>
      <c r="O16" s="242">
        <f t="shared" si="3"/>
        <v>0</v>
      </c>
      <c r="P16" s="241"/>
      <c r="Q16" s="245"/>
      <c r="R16" s="242">
        <f t="shared" si="4"/>
        <v>0</v>
      </c>
      <c r="S16" s="245"/>
      <c r="T16" s="245"/>
      <c r="U16" s="242">
        <f t="shared" si="5"/>
        <v>0</v>
      </c>
      <c r="V16" s="242">
        <f t="shared" si="6"/>
        <v>0</v>
      </c>
      <c r="W16" s="242">
        <f t="shared" si="7"/>
        <v>0</v>
      </c>
      <c r="X16" s="242">
        <f t="shared" si="8"/>
        <v>0</v>
      </c>
      <c r="Y16" s="245"/>
      <c r="Z16" s="245"/>
      <c r="AA16" s="242">
        <f t="shared" si="9"/>
        <v>0</v>
      </c>
      <c r="AB16" s="245"/>
      <c r="AC16" s="245"/>
      <c r="AD16" s="242">
        <f t="shared" si="33"/>
        <v>0</v>
      </c>
      <c r="AE16" s="245"/>
      <c r="AF16" s="245"/>
      <c r="AG16" s="242">
        <f t="shared" si="10"/>
        <v>0</v>
      </c>
      <c r="AH16" s="242">
        <f t="shared" si="11"/>
        <v>0</v>
      </c>
      <c r="AI16" s="242">
        <f t="shared" si="12"/>
        <v>0</v>
      </c>
      <c r="AJ16" s="242">
        <f t="shared" si="13"/>
        <v>0</v>
      </c>
      <c r="AK16" s="242">
        <f t="shared" si="14"/>
        <v>0</v>
      </c>
      <c r="AL16" s="242">
        <f t="shared" si="15"/>
        <v>0</v>
      </c>
      <c r="AM16" s="242">
        <f t="shared" si="16"/>
        <v>0</v>
      </c>
      <c r="AN16" s="245"/>
      <c r="AO16" s="245"/>
      <c r="AP16" s="242">
        <f t="shared" si="17"/>
        <v>0</v>
      </c>
      <c r="AQ16" s="245"/>
      <c r="AR16" s="245"/>
      <c r="AS16" s="242">
        <f t="shared" si="18"/>
        <v>0</v>
      </c>
      <c r="AT16" s="242">
        <f t="shared" si="19"/>
        <v>0</v>
      </c>
      <c r="AU16" s="242">
        <f t="shared" si="20"/>
        <v>0</v>
      </c>
      <c r="AV16" s="242">
        <f t="shared" si="21"/>
        <v>0</v>
      </c>
      <c r="AW16" s="242">
        <f t="shared" si="22"/>
        <v>0</v>
      </c>
      <c r="AX16" s="242">
        <f t="shared" si="23"/>
        <v>0</v>
      </c>
      <c r="AY16" s="242">
        <f t="shared" si="24"/>
        <v>0</v>
      </c>
      <c r="AZ16" s="245"/>
      <c r="BA16" s="245"/>
      <c r="BB16" s="242">
        <f t="shared" si="25"/>
        <v>0</v>
      </c>
      <c r="BC16" s="245"/>
      <c r="BD16" s="245"/>
      <c r="BE16" s="242">
        <f t="shared" si="26"/>
        <v>0</v>
      </c>
      <c r="BF16" s="242">
        <f t="shared" si="27"/>
        <v>0</v>
      </c>
      <c r="BG16" s="242">
        <f t="shared" si="28"/>
        <v>0</v>
      </c>
      <c r="BH16" s="242">
        <f t="shared" si="29"/>
        <v>0</v>
      </c>
      <c r="BI16" s="242">
        <f t="shared" si="30"/>
        <v>0</v>
      </c>
      <c r="BJ16" s="242">
        <f t="shared" si="31"/>
        <v>0</v>
      </c>
      <c r="BK16" s="242">
        <f t="shared" si="32"/>
        <v>0</v>
      </c>
      <c r="BL16" s="242">
        <f t="shared" si="34"/>
        <v>0</v>
      </c>
      <c r="BM16" s="242">
        <f t="shared" si="35"/>
        <v>0</v>
      </c>
      <c r="BN16" s="242">
        <f t="shared" si="36"/>
        <v>0</v>
      </c>
      <c r="BO16" s="243"/>
      <c r="BP16" s="243"/>
      <c r="BQ16" s="243"/>
    </row>
    <row r="17" spans="1:69" ht="18" customHeight="1">
      <c r="B17" s="169">
        <v>12</v>
      </c>
      <c r="C17" s="229" t="s">
        <v>25</v>
      </c>
      <c r="D17" s="158"/>
      <c r="E17" s="158"/>
      <c r="F17" s="158">
        <f t="shared" si="0"/>
        <v>0</v>
      </c>
      <c r="G17" s="158"/>
      <c r="H17" s="158"/>
      <c r="I17" s="158">
        <f t="shared" si="1"/>
        <v>0</v>
      </c>
      <c r="J17" s="158"/>
      <c r="K17" s="158"/>
      <c r="L17" s="158">
        <f t="shared" si="2"/>
        <v>0</v>
      </c>
      <c r="M17" s="158"/>
      <c r="N17" s="158"/>
      <c r="O17" s="158">
        <f t="shared" si="3"/>
        <v>0</v>
      </c>
      <c r="P17" s="158"/>
      <c r="Q17" s="158"/>
      <c r="R17" s="158">
        <f t="shared" si="4"/>
        <v>0</v>
      </c>
      <c r="S17" s="158"/>
      <c r="T17" s="158"/>
      <c r="U17" s="158">
        <f t="shared" si="5"/>
        <v>0</v>
      </c>
      <c r="V17" s="158">
        <f t="shared" si="6"/>
        <v>0</v>
      </c>
      <c r="W17" s="158">
        <f t="shared" si="7"/>
        <v>0</v>
      </c>
      <c r="X17" s="158">
        <f t="shared" si="8"/>
        <v>0</v>
      </c>
      <c r="Y17" s="158"/>
      <c r="Z17" s="158"/>
      <c r="AA17" s="158">
        <f t="shared" si="9"/>
        <v>0</v>
      </c>
      <c r="AB17" s="158"/>
      <c r="AC17" s="158"/>
      <c r="AD17" s="158">
        <f t="shared" si="33"/>
        <v>0</v>
      </c>
      <c r="AE17" s="158"/>
      <c r="AF17" s="158"/>
      <c r="AG17" s="158">
        <f t="shared" si="10"/>
        <v>0</v>
      </c>
      <c r="AH17" s="158">
        <f t="shared" si="11"/>
        <v>0</v>
      </c>
      <c r="AI17" s="158">
        <f t="shared" si="12"/>
        <v>0</v>
      </c>
      <c r="AJ17" s="158">
        <f t="shared" si="13"/>
        <v>0</v>
      </c>
      <c r="AK17" s="168">
        <f t="shared" si="14"/>
        <v>0</v>
      </c>
      <c r="AL17" s="168">
        <f t="shared" si="15"/>
        <v>0</v>
      </c>
      <c r="AM17" s="168">
        <f t="shared" si="16"/>
        <v>0</v>
      </c>
      <c r="AN17" s="158"/>
      <c r="AO17" s="158"/>
      <c r="AP17" s="158">
        <f t="shared" si="17"/>
        <v>0</v>
      </c>
      <c r="AQ17" s="158"/>
      <c r="AR17" s="158"/>
      <c r="AS17" s="158">
        <f t="shared" si="18"/>
        <v>0</v>
      </c>
      <c r="AT17" s="158">
        <f t="shared" si="19"/>
        <v>0</v>
      </c>
      <c r="AU17" s="158">
        <f t="shared" si="20"/>
        <v>0</v>
      </c>
      <c r="AV17" s="158">
        <f t="shared" si="21"/>
        <v>0</v>
      </c>
      <c r="AW17" s="168">
        <f t="shared" si="22"/>
        <v>0</v>
      </c>
      <c r="AX17" s="168">
        <f t="shared" si="23"/>
        <v>0</v>
      </c>
      <c r="AY17" s="168">
        <f t="shared" si="24"/>
        <v>0</v>
      </c>
      <c r="AZ17" s="158"/>
      <c r="BA17" s="158"/>
      <c r="BB17" s="158">
        <f t="shared" si="25"/>
        <v>0</v>
      </c>
      <c r="BC17" s="158"/>
      <c r="BD17" s="158"/>
      <c r="BE17" s="158">
        <f t="shared" si="26"/>
        <v>0</v>
      </c>
      <c r="BF17" s="158">
        <f t="shared" si="27"/>
        <v>0</v>
      </c>
      <c r="BG17" s="158">
        <f t="shared" si="28"/>
        <v>0</v>
      </c>
      <c r="BH17" s="158">
        <f t="shared" si="29"/>
        <v>0</v>
      </c>
      <c r="BI17" s="158">
        <f t="shared" si="30"/>
        <v>0</v>
      </c>
      <c r="BJ17" s="158">
        <f t="shared" si="31"/>
        <v>0</v>
      </c>
      <c r="BK17" s="158">
        <f t="shared" si="32"/>
        <v>0</v>
      </c>
      <c r="BL17" s="158">
        <f t="shared" si="34"/>
        <v>0</v>
      </c>
      <c r="BM17" s="158">
        <f t="shared" si="35"/>
        <v>0</v>
      </c>
      <c r="BN17" s="158">
        <f t="shared" si="36"/>
        <v>0</v>
      </c>
      <c r="BO17" s="163"/>
      <c r="BP17" s="163"/>
      <c r="BQ17" s="163"/>
    </row>
    <row r="18" spans="1:69" ht="18" customHeight="1">
      <c r="B18" s="169">
        <v>13</v>
      </c>
      <c r="C18" s="229" t="s">
        <v>53</v>
      </c>
      <c r="D18" s="158"/>
      <c r="E18" s="158"/>
      <c r="F18" s="158">
        <f t="shared" si="0"/>
        <v>0</v>
      </c>
      <c r="G18" s="158"/>
      <c r="H18" s="158"/>
      <c r="I18" s="158">
        <f t="shared" si="1"/>
        <v>0</v>
      </c>
      <c r="J18" s="158"/>
      <c r="K18" s="158"/>
      <c r="L18" s="158">
        <f t="shared" si="2"/>
        <v>0</v>
      </c>
      <c r="M18" s="158"/>
      <c r="N18" s="158"/>
      <c r="O18" s="158">
        <f t="shared" si="3"/>
        <v>0</v>
      </c>
      <c r="P18" s="158"/>
      <c r="Q18" s="158"/>
      <c r="R18" s="158">
        <f t="shared" si="4"/>
        <v>0</v>
      </c>
      <c r="S18" s="158"/>
      <c r="T18" s="158"/>
      <c r="U18" s="158">
        <f t="shared" si="5"/>
        <v>0</v>
      </c>
      <c r="V18" s="158">
        <f t="shared" si="6"/>
        <v>0</v>
      </c>
      <c r="W18" s="158">
        <f t="shared" si="7"/>
        <v>0</v>
      </c>
      <c r="X18" s="158">
        <f t="shared" si="8"/>
        <v>0</v>
      </c>
      <c r="Y18" s="158"/>
      <c r="Z18" s="158"/>
      <c r="AA18" s="158">
        <f t="shared" si="9"/>
        <v>0</v>
      </c>
      <c r="AB18" s="158"/>
      <c r="AC18" s="158"/>
      <c r="AD18" s="158">
        <f t="shared" si="33"/>
        <v>0</v>
      </c>
      <c r="AE18" s="158"/>
      <c r="AF18" s="158"/>
      <c r="AG18" s="158">
        <f t="shared" si="10"/>
        <v>0</v>
      </c>
      <c r="AH18" s="158">
        <f t="shared" si="11"/>
        <v>0</v>
      </c>
      <c r="AI18" s="158">
        <f t="shared" si="12"/>
        <v>0</v>
      </c>
      <c r="AJ18" s="158">
        <f t="shared" si="13"/>
        <v>0</v>
      </c>
      <c r="AK18" s="168">
        <f t="shared" si="14"/>
        <v>0</v>
      </c>
      <c r="AL18" s="168">
        <f t="shared" si="15"/>
        <v>0</v>
      </c>
      <c r="AM18" s="168">
        <f t="shared" si="16"/>
        <v>0</v>
      </c>
      <c r="AN18" s="158"/>
      <c r="AO18" s="158"/>
      <c r="AP18" s="158">
        <f t="shared" si="17"/>
        <v>0</v>
      </c>
      <c r="AQ18" s="158"/>
      <c r="AR18" s="158"/>
      <c r="AS18" s="158">
        <f t="shared" si="18"/>
        <v>0</v>
      </c>
      <c r="AT18" s="158">
        <f t="shared" si="19"/>
        <v>0</v>
      </c>
      <c r="AU18" s="158">
        <f t="shared" si="20"/>
        <v>0</v>
      </c>
      <c r="AV18" s="158">
        <f t="shared" si="21"/>
        <v>0</v>
      </c>
      <c r="AW18" s="168">
        <f t="shared" si="22"/>
        <v>0</v>
      </c>
      <c r="AX18" s="168">
        <f t="shared" si="23"/>
        <v>0</v>
      </c>
      <c r="AY18" s="168">
        <f t="shared" si="24"/>
        <v>0</v>
      </c>
      <c r="AZ18" s="177"/>
      <c r="BA18" s="177"/>
      <c r="BB18" s="177">
        <f t="shared" si="25"/>
        <v>0</v>
      </c>
      <c r="BC18" s="177"/>
      <c r="BD18" s="177"/>
      <c r="BE18" s="177">
        <f t="shared" si="26"/>
        <v>0</v>
      </c>
      <c r="BF18" s="176">
        <f t="shared" si="27"/>
        <v>0</v>
      </c>
      <c r="BG18" s="176">
        <f t="shared" si="28"/>
        <v>0</v>
      </c>
      <c r="BH18" s="176">
        <f t="shared" si="29"/>
        <v>0</v>
      </c>
      <c r="BI18" s="158">
        <f t="shared" si="30"/>
        <v>0</v>
      </c>
      <c r="BJ18" s="158">
        <f t="shared" si="31"/>
        <v>0</v>
      </c>
      <c r="BK18" s="158">
        <f t="shared" si="32"/>
        <v>0</v>
      </c>
      <c r="BL18" s="158">
        <f t="shared" si="34"/>
        <v>0</v>
      </c>
      <c r="BM18" s="158">
        <f t="shared" si="35"/>
        <v>0</v>
      </c>
      <c r="BN18" s="158">
        <f t="shared" si="36"/>
        <v>0</v>
      </c>
      <c r="BO18" s="163"/>
      <c r="BP18" s="163"/>
      <c r="BQ18" s="163"/>
    </row>
    <row r="19" spans="1:69" ht="18" customHeight="1">
      <c r="B19" s="169">
        <v>14</v>
      </c>
      <c r="C19" s="229" t="s">
        <v>27</v>
      </c>
      <c r="D19" s="158"/>
      <c r="E19" s="158"/>
      <c r="F19" s="158">
        <f t="shared" si="0"/>
        <v>0</v>
      </c>
      <c r="G19" s="158"/>
      <c r="H19" s="158"/>
      <c r="I19" s="158">
        <f t="shared" si="1"/>
        <v>0</v>
      </c>
      <c r="J19" s="158"/>
      <c r="K19" s="158"/>
      <c r="L19" s="158">
        <f t="shared" si="2"/>
        <v>0</v>
      </c>
      <c r="M19" s="158"/>
      <c r="N19" s="158"/>
      <c r="O19" s="158">
        <f t="shared" si="3"/>
        <v>0</v>
      </c>
      <c r="P19" s="158"/>
      <c r="Q19" s="158"/>
      <c r="R19" s="158">
        <f t="shared" si="4"/>
        <v>0</v>
      </c>
      <c r="S19" s="158"/>
      <c r="T19" s="158"/>
      <c r="U19" s="158">
        <f t="shared" si="5"/>
        <v>0</v>
      </c>
      <c r="V19" s="158">
        <f t="shared" si="6"/>
        <v>0</v>
      </c>
      <c r="W19" s="158">
        <f t="shared" si="7"/>
        <v>0</v>
      </c>
      <c r="X19" s="158">
        <f t="shared" si="8"/>
        <v>0</v>
      </c>
      <c r="Y19" s="158"/>
      <c r="Z19" s="158"/>
      <c r="AA19" s="158">
        <f t="shared" si="9"/>
        <v>0</v>
      </c>
      <c r="AB19" s="158"/>
      <c r="AC19" s="158"/>
      <c r="AD19" s="158">
        <f t="shared" si="33"/>
        <v>0</v>
      </c>
      <c r="AE19" s="158"/>
      <c r="AF19" s="158"/>
      <c r="AG19" s="158">
        <f t="shared" si="10"/>
        <v>0</v>
      </c>
      <c r="AH19" s="158">
        <f t="shared" si="11"/>
        <v>0</v>
      </c>
      <c r="AI19" s="158">
        <f t="shared" si="12"/>
        <v>0</v>
      </c>
      <c r="AJ19" s="158">
        <f t="shared" si="13"/>
        <v>0</v>
      </c>
      <c r="AK19" s="168">
        <f t="shared" si="14"/>
        <v>0</v>
      </c>
      <c r="AL19" s="168">
        <f t="shared" si="15"/>
        <v>0</v>
      </c>
      <c r="AM19" s="168">
        <f t="shared" si="16"/>
        <v>0</v>
      </c>
      <c r="AN19" s="158"/>
      <c r="AO19" s="158"/>
      <c r="AP19" s="158">
        <f t="shared" si="17"/>
        <v>0</v>
      </c>
      <c r="AQ19" s="158"/>
      <c r="AR19" s="158"/>
      <c r="AS19" s="158">
        <f t="shared" si="18"/>
        <v>0</v>
      </c>
      <c r="AT19" s="158">
        <f t="shared" si="19"/>
        <v>0</v>
      </c>
      <c r="AU19" s="158">
        <f t="shared" si="20"/>
        <v>0</v>
      </c>
      <c r="AV19" s="158">
        <f t="shared" si="21"/>
        <v>0</v>
      </c>
      <c r="AW19" s="168">
        <f t="shared" si="22"/>
        <v>0</v>
      </c>
      <c r="AX19" s="168">
        <f t="shared" si="23"/>
        <v>0</v>
      </c>
      <c r="AY19" s="168">
        <f t="shared" si="24"/>
        <v>0</v>
      </c>
      <c r="AZ19" s="158"/>
      <c r="BA19" s="158"/>
      <c r="BB19" s="158">
        <f t="shared" si="25"/>
        <v>0</v>
      </c>
      <c r="BC19" s="158"/>
      <c r="BD19" s="158"/>
      <c r="BE19" s="158">
        <f t="shared" si="26"/>
        <v>0</v>
      </c>
      <c r="BF19" s="158">
        <f t="shared" si="27"/>
        <v>0</v>
      </c>
      <c r="BG19" s="158">
        <f t="shared" si="28"/>
        <v>0</v>
      </c>
      <c r="BH19" s="158">
        <f t="shared" si="29"/>
        <v>0</v>
      </c>
      <c r="BI19" s="158">
        <f t="shared" si="30"/>
        <v>0</v>
      </c>
      <c r="BJ19" s="158">
        <f t="shared" si="31"/>
        <v>0</v>
      </c>
      <c r="BK19" s="158">
        <f t="shared" si="32"/>
        <v>0</v>
      </c>
      <c r="BL19" s="158">
        <f t="shared" si="34"/>
        <v>0</v>
      </c>
      <c r="BM19" s="158">
        <f t="shared" si="35"/>
        <v>0</v>
      </c>
      <c r="BN19" s="158">
        <f t="shared" si="36"/>
        <v>0</v>
      </c>
      <c r="BO19" s="163"/>
      <c r="BP19" s="163"/>
      <c r="BQ19" s="163"/>
    </row>
    <row r="20" spans="1:69" ht="18" customHeight="1">
      <c r="B20" s="169">
        <v>15</v>
      </c>
      <c r="C20" s="229" t="s">
        <v>28</v>
      </c>
      <c r="D20" s="175">
        <v>0</v>
      </c>
      <c r="E20" s="175">
        <v>0</v>
      </c>
      <c r="F20" s="158">
        <f t="shared" si="0"/>
        <v>0</v>
      </c>
      <c r="G20" s="175">
        <v>612376</v>
      </c>
      <c r="H20" s="175">
        <v>551675</v>
      </c>
      <c r="I20" s="158">
        <f t="shared" si="1"/>
        <v>1164051</v>
      </c>
      <c r="J20" s="175">
        <v>621379</v>
      </c>
      <c r="K20" s="175">
        <v>566029</v>
      </c>
      <c r="L20" s="158">
        <f t="shared" si="2"/>
        <v>1187408</v>
      </c>
      <c r="M20" s="175">
        <v>652003</v>
      </c>
      <c r="N20" s="175">
        <v>591656</v>
      </c>
      <c r="O20" s="158">
        <f t="shared" si="3"/>
        <v>1243659</v>
      </c>
      <c r="P20" s="175">
        <v>642798</v>
      </c>
      <c r="Q20" s="175">
        <v>577672</v>
      </c>
      <c r="R20" s="158">
        <f t="shared" si="4"/>
        <v>1220470</v>
      </c>
      <c r="S20" s="175">
        <v>607873</v>
      </c>
      <c r="T20" s="175">
        <v>538053</v>
      </c>
      <c r="U20" s="158">
        <f t="shared" si="5"/>
        <v>1145926</v>
      </c>
      <c r="V20" s="158">
        <f t="shared" si="6"/>
        <v>3136429</v>
      </c>
      <c r="W20" s="158">
        <f t="shared" si="7"/>
        <v>2825085</v>
      </c>
      <c r="X20" s="158">
        <f t="shared" si="8"/>
        <v>5961514</v>
      </c>
      <c r="Y20" s="175">
        <v>598905</v>
      </c>
      <c r="Z20" s="175">
        <v>535304</v>
      </c>
      <c r="AA20" s="158">
        <f t="shared" si="9"/>
        <v>1134209</v>
      </c>
      <c r="AB20" s="175">
        <v>581653</v>
      </c>
      <c r="AC20" s="175">
        <v>519633</v>
      </c>
      <c r="AD20" s="158">
        <f t="shared" si="33"/>
        <v>1101286</v>
      </c>
      <c r="AE20" s="175">
        <v>526093</v>
      </c>
      <c r="AF20" s="175">
        <v>455555</v>
      </c>
      <c r="AG20" s="158">
        <f t="shared" si="10"/>
        <v>981648</v>
      </c>
      <c r="AH20" s="158">
        <f t="shared" si="11"/>
        <v>1706651</v>
      </c>
      <c r="AI20" s="158">
        <f t="shared" si="12"/>
        <v>1510492</v>
      </c>
      <c r="AJ20" s="158">
        <f t="shared" si="13"/>
        <v>3217143</v>
      </c>
      <c r="AK20" s="168">
        <f t="shared" si="14"/>
        <v>4843080</v>
      </c>
      <c r="AL20" s="168">
        <f t="shared" si="15"/>
        <v>4335577</v>
      </c>
      <c r="AM20" s="168">
        <f t="shared" si="16"/>
        <v>9178657</v>
      </c>
      <c r="AN20" s="175">
        <v>493370</v>
      </c>
      <c r="AO20" s="175">
        <v>428514</v>
      </c>
      <c r="AP20" s="158">
        <f t="shared" si="17"/>
        <v>921884</v>
      </c>
      <c r="AQ20" s="175">
        <v>450853</v>
      </c>
      <c r="AR20" s="175">
        <v>394691</v>
      </c>
      <c r="AS20" s="158">
        <f t="shared" si="18"/>
        <v>845544</v>
      </c>
      <c r="AT20" s="158">
        <f t="shared" si="19"/>
        <v>944223</v>
      </c>
      <c r="AU20" s="158">
        <f t="shared" si="20"/>
        <v>823205</v>
      </c>
      <c r="AV20" s="158">
        <f t="shared" si="21"/>
        <v>1767428</v>
      </c>
      <c r="AW20" s="168">
        <f t="shared" si="22"/>
        <v>5787303</v>
      </c>
      <c r="AX20" s="168">
        <f t="shared" si="23"/>
        <v>5158782</v>
      </c>
      <c r="AY20" s="168">
        <f t="shared" si="24"/>
        <v>10946085</v>
      </c>
      <c r="AZ20" s="175">
        <v>369711</v>
      </c>
      <c r="BA20" s="175">
        <v>297663</v>
      </c>
      <c r="BB20" s="158">
        <f t="shared" si="25"/>
        <v>667374</v>
      </c>
      <c r="BC20" s="175">
        <v>362462</v>
      </c>
      <c r="BD20" s="175">
        <v>291826</v>
      </c>
      <c r="BE20" s="158">
        <f t="shared" si="26"/>
        <v>654288</v>
      </c>
      <c r="BF20" s="158">
        <f t="shared" si="27"/>
        <v>732173</v>
      </c>
      <c r="BG20" s="158">
        <f t="shared" si="28"/>
        <v>589489</v>
      </c>
      <c r="BH20" s="158">
        <f t="shared" si="29"/>
        <v>1321662</v>
      </c>
      <c r="BI20" s="158">
        <f t="shared" si="30"/>
        <v>6519476</v>
      </c>
      <c r="BJ20" s="158">
        <f t="shared" si="31"/>
        <v>5748271</v>
      </c>
      <c r="BK20" s="158">
        <f t="shared" si="32"/>
        <v>12267747</v>
      </c>
      <c r="BL20" s="158">
        <f t="shared" si="34"/>
        <v>6519476</v>
      </c>
      <c r="BM20" s="158">
        <f t="shared" si="35"/>
        <v>5748271</v>
      </c>
      <c r="BN20" s="158">
        <f t="shared" si="36"/>
        <v>12267747</v>
      </c>
      <c r="BO20" s="163"/>
      <c r="BP20" s="163"/>
      <c r="BQ20" s="163"/>
    </row>
    <row r="21" spans="1:69" ht="18" customHeight="1">
      <c r="B21" s="169">
        <v>16</v>
      </c>
      <c r="C21" s="229" t="s">
        <v>29</v>
      </c>
      <c r="D21" s="158"/>
      <c r="E21" s="158"/>
      <c r="F21" s="158">
        <f t="shared" si="0"/>
        <v>0</v>
      </c>
      <c r="G21" s="158"/>
      <c r="H21" s="158"/>
      <c r="I21" s="158">
        <f t="shared" si="1"/>
        <v>0</v>
      </c>
      <c r="J21" s="158"/>
      <c r="K21" s="158"/>
      <c r="L21" s="158">
        <f t="shared" si="2"/>
        <v>0</v>
      </c>
      <c r="M21" s="158"/>
      <c r="N21" s="158"/>
      <c r="O21" s="158">
        <f t="shared" si="3"/>
        <v>0</v>
      </c>
      <c r="P21" s="158"/>
      <c r="Q21" s="158"/>
      <c r="R21" s="158">
        <f t="shared" si="4"/>
        <v>0</v>
      </c>
      <c r="S21" s="158"/>
      <c r="T21" s="158"/>
      <c r="U21" s="158">
        <f t="shared" si="5"/>
        <v>0</v>
      </c>
      <c r="V21" s="158">
        <f t="shared" si="6"/>
        <v>0</v>
      </c>
      <c r="W21" s="158">
        <f t="shared" si="7"/>
        <v>0</v>
      </c>
      <c r="X21" s="158">
        <f t="shared" si="8"/>
        <v>0</v>
      </c>
      <c r="Y21" s="158"/>
      <c r="Z21" s="158"/>
      <c r="AA21" s="158">
        <f t="shared" si="9"/>
        <v>0</v>
      </c>
      <c r="AB21" s="158"/>
      <c r="AC21" s="158"/>
      <c r="AD21" s="158">
        <f t="shared" si="33"/>
        <v>0</v>
      </c>
      <c r="AE21" s="158"/>
      <c r="AF21" s="158"/>
      <c r="AG21" s="158">
        <f t="shared" si="10"/>
        <v>0</v>
      </c>
      <c r="AH21" s="158">
        <f t="shared" si="11"/>
        <v>0</v>
      </c>
      <c r="AI21" s="158">
        <f t="shared" si="12"/>
        <v>0</v>
      </c>
      <c r="AJ21" s="158">
        <f t="shared" si="13"/>
        <v>0</v>
      </c>
      <c r="AK21" s="168">
        <f t="shared" si="14"/>
        <v>0</v>
      </c>
      <c r="AL21" s="168">
        <f t="shared" si="15"/>
        <v>0</v>
      </c>
      <c r="AM21" s="168">
        <f t="shared" si="16"/>
        <v>0</v>
      </c>
      <c r="AN21" s="158"/>
      <c r="AO21" s="158"/>
      <c r="AP21" s="158">
        <f t="shared" si="17"/>
        <v>0</v>
      </c>
      <c r="AQ21" s="158"/>
      <c r="AR21" s="158"/>
      <c r="AS21" s="158">
        <f t="shared" si="18"/>
        <v>0</v>
      </c>
      <c r="AT21" s="158">
        <f t="shared" si="19"/>
        <v>0</v>
      </c>
      <c r="AU21" s="158">
        <f t="shared" si="20"/>
        <v>0</v>
      </c>
      <c r="AV21" s="158">
        <f t="shared" si="21"/>
        <v>0</v>
      </c>
      <c r="AW21" s="168">
        <f t="shared" si="22"/>
        <v>0</v>
      </c>
      <c r="AX21" s="168">
        <f t="shared" si="23"/>
        <v>0</v>
      </c>
      <c r="AY21" s="168">
        <f t="shared" si="24"/>
        <v>0</v>
      </c>
      <c r="AZ21" s="158"/>
      <c r="BA21" s="158"/>
      <c r="BB21" s="158">
        <f t="shared" si="25"/>
        <v>0</v>
      </c>
      <c r="BC21" s="158"/>
      <c r="BD21" s="158"/>
      <c r="BE21" s="158">
        <f t="shared" si="26"/>
        <v>0</v>
      </c>
      <c r="BF21" s="158">
        <f t="shared" si="27"/>
        <v>0</v>
      </c>
      <c r="BG21" s="158">
        <f t="shared" si="28"/>
        <v>0</v>
      </c>
      <c r="BH21" s="158">
        <f t="shared" si="29"/>
        <v>0</v>
      </c>
      <c r="BI21" s="158">
        <f t="shared" si="30"/>
        <v>0</v>
      </c>
      <c r="BJ21" s="158">
        <f t="shared" si="31"/>
        <v>0</v>
      </c>
      <c r="BK21" s="158">
        <f t="shared" si="32"/>
        <v>0</v>
      </c>
      <c r="BL21" s="158">
        <f t="shared" si="34"/>
        <v>0</v>
      </c>
      <c r="BM21" s="158">
        <f t="shared" si="35"/>
        <v>0</v>
      </c>
      <c r="BN21" s="158">
        <f t="shared" si="36"/>
        <v>0</v>
      </c>
      <c r="BO21" s="163"/>
      <c r="BP21" s="163"/>
      <c r="BQ21" s="163"/>
    </row>
    <row r="22" spans="1:69" ht="18" customHeight="1">
      <c r="B22" s="169">
        <v>17</v>
      </c>
      <c r="C22" s="229" t="s">
        <v>30</v>
      </c>
      <c r="D22" s="158"/>
      <c r="E22" s="158"/>
      <c r="F22" s="158">
        <f t="shared" si="0"/>
        <v>0</v>
      </c>
      <c r="G22" s="158"/>
      <c r="H22" s="158"/>
      <c r="I22" s="158">
        <f t="shared" si="1"/>
        <v>0</v>
      </c>
      <c r="J22" s="158"/>
      <c r="K22" s="158"/>
      <c r="L22" s="158">
        <f t="shared" si="2"/>
        <v>0</v>
      </c>
      <c r="M22" s="158"/>
      <c r="N22" s="158"/>
      <c r="O22" s="158">
        <f t="shared" si="3"/>
        <v>0</v>
      </c>
      <c r="P22" s="158"/>
      <c r="Q22" s="158"/>
      <c r="R22" s="158">
        <f t="shared" si="4"/>
        <v>0</v>
      </c>
      <c r="S22" s="158"/>
      <c r="T22" s="158"/>
      <c r="U22" s="158">
        <f t="shared" si="5"/>
        <v>0</v>
      </c>
      <c r="V22" s="158">
        <f t="shared" si="6"/>
        <v>0</v>
      </c>
      <c r="W22" s="158">
        <f t="shared" si="7"/>
        <v>0</v>
      </c>
      <c r="X22" s="158">
        <f t="shared" si="8"/>
        <v>0</v>
      </c>
      <c r="Y22" s="158"/>
      <c r="Z22" s="158"/>
      <c r="AA22" s="158">
        <f t="shared" si="9"/>
        <v>0</v>
      </c>
      <c r="AB22" s="158"/>
      <c r="AC22" s="158"/>
      <c r="AD22" s="158">
        <f t="shared" si="33"/>
        <v>0</v>
      </c>
      <c r="AE22" s="158"/>
      <c r="AF22" s="158"/>
      <c r="AG22" s="158">
        <f t="shared" si="10"/>
        <v>0</v>
      </c>
      <c r="AH22" s="158">
        <f t="shared" si="11"/>
        <v>0</v>
      </c>
      <c r="AI22" s="158">
        <f t="shared" si="12"/>
        <v>0</v>
      </c>
      <c r="AJ22" s="158">
        <f t="shared" si="13"/>
        <v>0</v>
      </c>
      <c r="AK22" s="168">
        <f t="shared" si="14"/>
        <v>0</v>
      </c>
      <c r="AL22" s="168">
        <f t="shared" si="15"/>
        <v>0</v>
      </c>
      <c r="AM22" s="168">
        <f t="shared" si="16"/>
        <v>0</v>
      </c>
      <c r="AN22" s="158"/>
      <c r="AO22" s="158"/>
      <c r="AP22" s="158">
        <f t="shared" si="17"/>
        <v>0</v>
      </c>
      <c r="AQ22" s="158"/>
      <c r="AR22" s="158"/>
      <c r="AS22" s="158">
        <f t="shared" si="18"/>
        <v>0</v>
      </c>
      <c r="AT22" s="158">
        <f t="shared" si="19"/>
        <v>0</v>
      </c>
      <c r="AU22" s="158">
        <f t="shared" si="20"/>
        <v>0</v>
      </c>
      <c r="AV22" s="158">
        <f t="shared" si="21"/>
        <v>0</v>
      </c>
      <c r="AW22" s="168">
        <f t="shared" si="22"/>
        <v>0</v>
      </c>
      <c r="AX22" s="168">
        <f t="shared" si="23"/>
        <v>0</v>
      </c>
      <c r="AY22" s="168">
        <f t="shared" si="24"/>
        <v>0</v>
      </c>
      <c r="AZ22" s="158"/>
      <c r="BA22" s="158"/>
      <c r="BB22" s="158">
        <f t="shared" si="25"/>
        <v>0</v>
      </c>
      <c r="BC22" s="158"/>
      <c r="BD22" s="158"/>
      <c r="BE22" s="158">
        <f t="shared" si="26"/>
        <v>0</v>
      </c>
      <c r="BF22" s="158">
        <f t="shared" si="27"/>
        <v>0</v>
      </c>
      <c r="BG22" s="158">
        <f t="shared" si="28"/>
        <v>0</v>
      </c>
      <c r="BH22" s="158">
        <f t="shared" si="29"/>
        <v>0</v>
      </c>
      <c r="BI22" s="158">
        <f t="shared" si="30"/>
        <v>0</v>
      </c>
      <c r="BJ22" s="158">
        <f t="shared" si="31"/>
        <v>0</v>
      </c>
      <c r="BK22" s="158">
        <f t="shared" si="32"/>
        <v>0</v>
      </c>
      <c r="BL22" s="158">
        <f t="shared" si="34"/>
        <v>0</v>
      </c>
      <c r="BM22" s="158">
        <f t="shared" si="35"/>
        <v>0</v>
      </c>
      <c r="BN22" s="158">
        <f t="shared" si="36"/>
        <v>0</v>
      </c>
      <c r="BO22" s="163"/>
      <c r="BP22" s="163"/>
      <c r="BQ22" s="163"/>
    </row>
    <row r="23" spans="1:69" ht="18" customHeight="1">
      <c r="B23" s="169">
        <v>18</v>
      </c>
      <c r="C23" s="229" t="s">
        <v>31</v>
      </c>
      <c r="D23" s="158"/>
      <c r="E23" s="170"/>
      <c r="F23" s="158">
        <f t="shared" si="0"/>
        <v>0</v>
      </c>
      <c r="G23" s="170"/>
      <c r="H23" s="170"/>
      <c r="I23" s="158">
        <f t="shared" si="1"/>
        <v>0</v>
      </c>
      <c r="J23" s="170"/>
      <c r="K23" s="170"/>
      <c r="L23" s="158">
        <f t="shared" si="2"/>
        <v>0</v>
      </c>
      <c r="M23" s="170"/>
      <c r="N23" s="170"/>
      <c r="O23" s="158">
        <f t="shared" si="3"/>
        <v>0</v>
      </c>
      <c r="P23" s="170"/>
      <c r="Q23" s="170"/>
      <c r="R23" s="158">
        <f t="shared" si="4"/>
        <v>0</v>
      </c>
      <c r="S23" s="170"/>
      <c r="T23" s="170"/>
      <c r="U23" s="158">
        <f t="shared" si="5"/>
        <v>0</v>
      </c>
      <c r="V23" s="158">
        <f t="shared" si="6"/>
        <v>0</v>
      </c>
      <c r="W23" s="158">
        <f t="shared" si="7"/>
        <v>0</v>
      </c>
      <c r="X23" s="158">
        <f t="shared" si="8"/>
        <v>0</v>
      </c>
      <c r="Y23" s="170"/>
      <c r="Z23" s="170"/>
      <c r="AA23" s="158">
        <f t="shared" si="9"/>
        <v>0</v>
      </c>
      <c r="AB23" s="170"/>
      <c r="AC23" s="170"/>
      <c r="AD23" s="158">
        <f t="shared" si="33"/>
        <v>0</v>
      </c>
      <c r="AE23" s="170"/>
      <c r="AF23" s="170"/>
      <c r="AG23" s="158">
        <f t="shared" si="10"/>
        <v>0</v>
      </c>
      <c r="AH23" s="158">
        <f t="shared" si="11"/>
        <v>0</v>
      </c>
      <c r="AI23" s="158">
        <f t="shared" si="12"/>
        <v>0</v>
      </c>
      <c r="AJ23" s="158">
        <f t="shared" si="13"/>
        <v>0</v>
      </c>
      <c r="AK23" s="168">
        <f t="shared" si="14"/>
        <v>0</v>
      </c>
      <c r="AL23" s="168">
        <f t="shared" si="15"/>
        <v>0</v>
      </c>
      <c r="AM23" s="168">
        <f t="shared" si="16"/>
        <v>0</v>
      </c>
      <c r="AN23" s="170"/>
      <c r="AO23" s="170"/>
      <c r="AP23" s="158">
        <f t="shared" si="17"/>
        <v>0</v>
      </c>
      <c r="AQ23" s="170"/>
      <c r="AR23" s="170"/>
      <c r="AS23" s="158">
        <f t="shared" si="18"/>
        <v>0</v>
      </c>
      <c r="AT23" s="158">
        <f t="shared" si="19"/>
        <v>0</v>
      </c>
      <c r="AU23" s="158">
        <f t="shared" si="20"/>
        <v>0</v>
      </c>
      <c r="AV23" s="158">
        <f t="shared" si="21"/>
        <v>0</v>
      </c>
      <c r="AW23" s="168">
        <f t="shared" si="22"/>
        <v>0</v>
      </c>
      <c r="AX23" s="168">
        <f t="shared" si="23"/>
        <v>0</v>
      </c>
      <c r="AY23" s="168">
        <f t="shared" si="24"/>
        <v>0</v>
      </c>
      <c r="AZ23" s="170"/>
      <c r="BA23" s="170"/>
      <c r="BB23" s="158">
        <f t="shared" si="25"/>
        <v>0</v>
      </c>
      <c r="BC23" s="170"/>
      <c r="BD23" s="170"/>
      <c r="BE23" s="158">
        <f t="shared" si="26"/>
        <v>0</v>
      </c>
      <c r="BF23" s="158">
        <f t="shared" si="27"/>
        <v>0</v>
      </c>
      <c r="BG23" s="158">
        <f t="shared" si="28"/>
        <v>0</v>
      </c>
      <c r="BH23" s="158">
        <f t="shared" si="29"/>
        <v>0</v>
      </c>
      <c r="BI23" s="158">
        <f t="shared" si="30"/>
        <v>0</v>
      </c>
      <c r="BJ23" s="158">
        <f t="shared" si="31"/>
        <v>0</v>
      </c>
      <c r="BK23" s="158">
        <f t="shared" si="32"/>
        <v>0</v>
      </c>
      <c r="BL23" s="158">
        <f t="shared" si="34"/>
        <v>0</v>
      </c>
      <c r="BM23" s="158">
        <f t="shared" si="35"/>
        <v>0</v>
      </c>
      <c r="BN23" s="158">
        <f t="shared" si="36"/>
        <v>0</v>
      </c>
      <c r="BO23" s="163"/>
      <c r="BP23" s="163"/>
      <c r="BQ23" s="163"/>
    </row>
    <row r="24" spans="1:69" s="244" customFormat="1" ht="18" customHeight="1">
      <c r="B24" s="240">
        <v>19</v>
      </c>
      <c r="C24" s="241" t="s">
        <v>54</v>
      </c>
      <c r="D24" s="242"/>
      <c r="E24" s="242"/>
      <c r="F24" s="242">
        <f t="shared" si="0"/>
        <v>0</v>
      </c>
      <c r="G24" s="242"/>
      <c r="H24" s="242"/>
      <c r="I24" s="242">
        <f t="shared" si="1"/>
        <v>0</v>
      </c>
      <c r="J24" s="242"/>
      <c r="K24" s="242"/>
      <c r="L24" s="242">
        <f t="shared" si="2"/>
        <v>0</v>
      </c>
      <c r="M24" s="242"/>
      <c r="N24" s="242"/>
      <c r="O24" s="242">
        <f t="shared" si="3"/>
        <v>0</v>
      </c>
      <c r="P24" s="242"/>
      <c r="Q24" s="242"/>
      <c r="R24" s="242">
        <f t="shared" si="4"/>
        <v>0</v>
      </c>
      <c r="S24" s="242"/>
      <c r="T24" s="242"/>
      <c r="U24" s="242"/>
      <c r="V24" s="242">
        <f t="shared" si="6"/>
        <v>0</v>
      </c>
      <c r="W24" s="242">
        <f t="shared" si="7"/>
        <v>0</v>
      </c>
      <c r="X24" s="242">
        <f t="shared" si="8"/>
        <v>0</v>
      </c>
      <c r="Y24" s="242"/>
      <c r="Z24" s="242"/>
      <c r="AA24" s="242">
        <f t="shared" si="9"/>
        <v>0</v>
      </c>
      <c r="AB24" s="242"/>
      <c r="AC24" s="242"/>
      <c r="AD24" s="242">
        <f t="shared" si="33"/>
        <v>0</v>
      </c>
      <c r="AE24" s="242"/>
      <c r="AF24" s="242"/>
      <c r="AG24" s="242">
        <f t="shared" si="10"/>
        <v>0</v>
      </c>
      <c r="AH24" s="242">
        <f t="shared" si="11"/>
        <v>0</v>
      </c>
      <c r="AI24" s="242">
        <f t="shared" si="12"/>
        <v>0</v>
      </c>
      <c r="AJ24" s="242">
        <f t="shared" si="13"/>
        <v>0</v>
      </c>
      <c r="AK24" s="242">
        <f t="shared" si="14"/>
        <v>0</v>
      </c>
      <c r="AL24" s="242">
        <f t="shared" si="15"/>
        <v>0</v>
      </c>
      <c r="AM24" s="242">
        <f t="shared" si="16"/>
        <v>0</v>
      </c>
      <c r="AN24" s="242"/>
      <c r="AO24" s="242"/>
      <c r="AP24" s="242">
        <f t="shared" si="17"/>
        <v>0</v>
      </c>
      <c r="AQ24" s="242"/>
      <c r="AR24" s="242"/>
      <c r="AS24" s="242">
        <f t="shared" si="18"/>
        <v>0</v>
      </c>
      <c r="AT24" s="242">
        <f t="shared" si="19"/>
        <v>0</v>
      </c>
      <c r="AU24" s="242">
        <f t="shared" si="20"/>
        <v>0</v>
      </c>
      <c r="AV24" s="242">
        <f t="shared" si="21"/>
        <v>0</v>
      </c>
      <c r="AW24" s="242">
        <f t="shared" si="22"/>
        <v>0</v>
      </c>
      <c r="AX24" s="242">
        <f t="shared" si="23"/>
        <v>0</v>
      </c>
      <c r="AY24" s="242">
        <f t="shared" si="24"/>
        <v>0</v>
      </c>
      <c r="AZ24" s="242"/>
      <c r="BA24" s="242"/>
      <c r="BB24" s="242">
        <f t="shared" si="25"/>
        <v>0</v>
      </c>
      <c r="BC24" s="242"/>
      <c r="BD24" s="242"/>
      <c r="BE24" s="242">
        <f t="shared" si="26"/>
        <v>0</v>
      </c>
      <c r="BF24" s="242">
        <f t="shared" si="27"/>
        <v>0</v>
      </c>
      <c r="BG24" s="242">
        <f t="shared" si="28"/>
        <v>0</v>
      </c>
      <c r="BH24" s="242">
        <f t="shared" si="29"/>
        <v>0</v>
      </c>
      <c r="BI24" s="242">
        <f t="shared" si="30"/>
        <v>0</v>
      </c>
      <c r="BJ24" s="242">
        <f t="shared" si="31"/>
        <v>0</v>
      </c>
      <c r="BK24" s="242">
        <f t="shared" si="32"/>
        <v>0</v>
      </c>
      <c r="BL24" s="242">
        <f t="shared" si="34"/>
        <v>0</v>
      </c>
      <c r="BM24" s="242">
        <f t="shared" si="35"/>
        <v>0</v>
      </c>
      <c r="BN24" s="242">
        <f t="shared" si="36"/>
        <v>0</v>
      </c>
      <c r="BO24" s="243"/>
      <c r="BP24" s="243"/>
      <c r="BQ24" s="243"/>
    </row>
    <row r="25" spans="1:69" ht="18" customHeight="1">
      <c r="B25" s="169">
        <v>20</v>
      </c>
      <c r="C25" s="229" t="s">
        <v>55</v>
      </c>
      <c r="D25" s="158"/>
      <c r="E25" s="158"/>
      <c r="F25" s="158">
        <f t="shared" si="0"/>
        <v>0</v>
      </c>
      <c r="G25" s="158"/>
      <c r="H25" s="158"/>
      <c r="I25" s="158">
        <f t="shared" si="1"/>
        <v>0</v>
      </c>
      <c r="J25" s="158"/>
      <c r="K25" s="158"/>
      <c r="L25" s="158">
        <f t="shared" si="2"/>
        <v>0</v>
      </c>
      <c r="M25" s="158"/>
      <c r="N25" s="158"/>
      <c r="O25" s="158">
        <f t="shared" si="3"/>
        <v>0</v>
      </c>
      <c r="P25" s="158"/>
      <c r="Q25" s="158"/>
      <c r="R25" s="158">
        <f t="shared" si="4"/>
        <v>0</v>
      </c>
      <c r="S25" s="158"/>
      <c r="T25" s="158"/>
      <c r="U25" s="158"/>
      <c r="V25" s="158">
        <f t="shared" si="6"/>
        <v>0</v>
      </c>
      <c r="W25" s="158">
        <f t="shared" si="7"/>
        <v>0</v>
      </c>
      <c r="X25" s="158">
        <f t="shared" si="8"/>
        <v>0</v>
      </c>
      <c r="Y25" s="158"/>
      <c r="Z25" s="158"/>
      <c r="AA25" s="158">
        <f t="shared" si="9"/>
        <v>0</v>
      </c>
      <c r="AB25" s="158"/>
      <c r="AC25" s="158"/>
      <c r="AD25" s="158">
        <f t="shared" si="33"/>
        <v>0</v>
      </c>
      <c r="AE25" s="158"/>
      <c r="AF25" s="158"/>
      <c r="AG25" s="158">
        <f t="shared" si="10"/>
        <v>0</v>
      </c>
      <c r="AH25" s="158">
        <f t="shared" si="11"/>
        <v>0</v>
      </c>
      <c r="AI25" s="158">
        <f t="shared" si="12"/>
        <v>0</v>
      </c>
      <c r="AJ25" s="158">
        <f t="shared" si="13"/>
        <v>0</v>
      </c>
      <c r="AK25" s="168">
        <f t="shared" si="14"/>
        <v>0</v>
      </c>
      <c r="AL25" s="168">
        <f t="shared" si="15"/>
        <v>0</v>
      </c>
      <c r="AM25" s="168">
        <f t="shared" si="16"/>
        <v>0</v>
      </c>
      <c r="AN25" s="158"/>
      <c r="AO25" s="158"/>
      <c r="AP25" s="158">
        <f t="shared" si="17"/>
        <v>0</v>
      </c>
      <c r="AQ25" s="158"/>
      <c r="AR25" s="158"/>
      <c r="AS25" s="158">
        <f t="shared" si="18"/>
        <v>0</v>
      </c>
      <c r="AT25" s="158">
        <f t="shared" si="19"/>
        <v>0</v>
      </c>
      <c r="AU25" s="158">
        <f t="shared" si="20"/>
        <v>0</v>
      </c>
      <c r="AV25" s="158">
        <f t="shared" si="21"/>
        <v>0</v>
      </c>
      <c r="AW25" s="168">
        <f t="shared" si="22"/>
        <v>0</v>
      </c>
      <c r="AX25" s="168">
        <f t="shared" si="23"/>
        <v>0</v>
      </c>
      <c r="AY25" s="168">
        <f t="shared" si="24"/>
        <v>0</v>
      </c>
      <c r="AZ25" s="158"/>
      <c r="BA25" s="158"/>
      <c r="BB25" s="158">
        <f t="shared" si="25"/>
        <v>0</v>
      </c>
      <c r="BC25" s="158"/>
      <c r="BD25" s="158"/>
      <c r="BE25" s="158">
        <f t="shared" si="26"/>
        <v>0</v>
      </c>
      <c r="BF25" s="158">
        <f t="shared" si="27"/>
        <v>0</v>
      </c>
      <c r="BG25" s="158">
        <f t="shared" si="28"/>
        <v>0</v>
      </c>
      <c r="BH25" s="158">
        <f t="shared" si="29"/>
        <v>0</v>
      </c>
      <c r="BI25" s="158">
        <f t="shared" si="30"/>
        <v>0</v>
      </c>
      <c r="BJ25" s="158">
        <f t="shared" si="31"/>
        <v>0</v>
      </c>
      <c r="BK25" s="158">
        <f t="shared" si="32"/>
        <v>0</v>
      </c>
      <c r="BL25" s="158">
        <f t="shared" si="34"/>
        <v>0</v>
      </c>
      <c r="BM25" s="158">
        <f t="shared" si="35"/>
        <v>0</v>
      </c>
      <c r="BN25" s="158">
        <f t="shared" si="36"/>
        <v>0</v>
      </c>
      <c r="BO25" s="163"/>
      <c r="BP25" s="163"/>
      <c r="BQ25" s="163"/>
    </row>
    <row r="26" spans="1:69" ht="18" customHeight="1">
      <c r="B26" s="169">
        <v>21</v>
      </c>
      <c r="C26" s="229" t="s">
        <v>56</v>
      </c>
      <c r="D26" s="158"/>
      <c r="E26" s="158"/>
      <c r="F26" s="158">
        <f t="shared" si="0"/>
        <v>0</v>
      </c>
      <c r="G26" s="158"/>
      <c r="H26" s="158"/>
      <c r="I26" s="158">
        <f t="shared" si="1"/>
        <v>0</v>
      </c>
      <c r="J26" s="158"/>
      <c r="K26" s="158"/>
      <c r="L26" s="158">
        <f t="shared" si="2"/>
        <v>0</v>
      </c>
      <c r="M26" s="158"/>
      <c r="N26" s="158"/>
      <c r="O26" s="158">
        <f t="shared" si="3"/>
        <v>0</v>
      </c>
      <c r="P26" s="158"/>
      <c r="Q26" s="158"/>
      <c r="R26" s="158">
        <f t="shared" si="4"/>
        <v>0</v>
      </c>
      <c r="S26" s="158"/>
      <c r="T26" s="158"/>
      <c r="U26" s="158">
        <f t="shared" ref="U26:U40" si="37">S26+T26</f>
        <v>0</v>
      </c>
      <c r="V26" s="158">
        <f t="shared" si="6"/>
        <v>0</v>
      </c>
      <c r="W26" s="158">
        <f t="shared" si="7"/>
        <v>0</v>
      </c>
      <c r="X26" s="158">
        <f t="shared" si="8"/>
        <v>0</v>
      </c>
      <c r="Y26" s="158"/>
      <c r="Z26" s="158"/>
      <c r="AA26" s="158">
        <f t="shared" si="9"/>
        <v>0</v>
      </c>
      <c r="AB26" s="158"/>
      <c r="AC26" s="158"/>
      <c r="AD26" s="158">
        <f t="shared" si="33"/>
        <v>0</v>
      </c>
      <c r="AE26" s="158"/>
      <c r="AF26" s="158"/>
      <c r="AG26" s="158">
        <f t="shared" si="10"/>
        <v>0</v>
      </c>
      <c r="AH26" s="158">
        <f t="shared" si="11"/>
        <v>0</v>
      </c>
      <c r="AI26" s="158">
        <f t="shared" si="12"/>
        <v>0</v>
      </c>
      <c r="AJ26" s="158">
        <f t="shared" si="13"/>
        <v>0</v>
      </c>
      <c r="AK26" s="168">
        <f t="shared" si="14"/>
        <v>0</v>
      </c>
      <c r="AL26" s="168">
        <f t="shared" si="15"/>
        <v>0</v>
      </c>
      <c r="AM26" s="168">
        <f t="shared" si="16"/>
        <v>0</v>
      </c>
      <c r="AN26" s="158"/>
      <c r="AO26" s="158"/>
      <c r="AP26" s="158">
        <f t="shared" si="17"/>
        <v>0</v>
      </c>
      <c r="AQ26" s="158"/>
      <c r="AR26" s="158"/>
      <c r="AS26" s="158">
        <f t="shared" si="18"/>
        <v>0</v>
      </c>
      <c r="AT26" s="158">
        <f t="shared" si="19"/>
        <v>0</v>
      </c>
      <c r="AU26" s="158">
        <f t="shared" si="20"/>
        <v>0</v>
      </c>
      <c r="AV26" s="158">
        <f t="shared" si="21"/>
        <v>0</v>
      </c>
      <c r="AW26" s="168">
        <f t="shared" si="22"/>
        <v>0</v>
      </c>
      <c r="AX26" s="168">
        <f t="shared" si="23"/>
        <v>0</v>
      </c>
      <c r="AY26" s="168">
        <f t="shared" si="24"/>
        <v>0</v>
      </c>
      <c r="AZ26" s="158"/>
      <c r="BA26" s="158"/>
      <c r="BB26" s="158">
        <f t="shared" si="25"/>
        <v>0</v>
      </c>
      <c r="BC26" s="158"/>
      <c r="BD26" s="158"/>
      <c r="BE26" s="158">
        <f t="shared" si="26"/>
        <v>0</v>
      </c>
      <c r="BF26" s="158">
        <f t="shared" si="27"/>
        <v>0</v>
      </c>
      <c r="BG26" s="158">
        <f t="shared" si="28"/>
        <v>0</v>
      </c>
      <c r="BH26" s="158">
        <f t="shared" si="29"/>
        <v>0</v>
      </c>
      <c r="BI26" s="158">
        <f t="shared" si="30"/>
        <v>0</v>
      </c>
      <c r="BJ26" s="158">
        <f t="shared" si="31"/>
        <v>0</v>
      </c>
      <c r="BK26" s="158">
        <f t="shared" si="32"/>
        <v>0</v>
      </c>
      <c r="BL26" s="158">
        <f t="shared" si="34"/>
        <v>0</v>
      </c>
      <c r="BM26" s="158">
        <f t="shared" si="35"/>
        <v>0</v>
      </c>
      <c r="BN26" s="158">
        <f t="shared" si="36"/>
        <v>0</v>
      </c>
      <c r="BO26" s="163"/>
      <c r="BP26" s="163"/>
      <c r="BQ26" s="163"/>
    </row>
    <row r="27" spans="1:69" ht="18" customHeight="1">
      <c r="B27" s="169">
        <v>22</v>
      </c>
      <c r="C27" s="229" t="s">
        <v>32</v>
      </c>
      <c r="D27" s="158"/>
      <c r="E27" s="158"/>
      <c r="F27" s="158">
        <f t="shared" si="0"/>
        <v>0</v>
      </c>
      <c r="G27" s="174"/>
      <c r="H27" s="174"/>
      <c r="I27" s="174">
        <f t="shared" si="1"/>
        <v>0</v>
      </c>
      <c r="J27" s="174"/>
      <c r="K27" s="174"/>
      <c r="L27" s="174">
        <f t="shared" si="2"/>
        <v>0</v>
      </c>
      <c r="M27" s="174"/>
      <c r="N27" s="174"/>
      <c r="O27" s="174">
        <f t="shared" si="3"/>
        <v>0</v>
      </c>
      <c r="P27" s="174"/>
      <c r="Q27" s="174"/>
      <c r="R27" s="174">
        <f t="shared" si="4"/>
        <v>0</v>
      </c>
      <c r="S27" s="174"/>
      <c r="T27" s="174"/>
      <c r="U27" s="174">
        <f t="shared" si="37"/>
        <v>0</v>
      </c>
      <c r="V27" s="174">
        <f t="shared" si="6"/>
        <v>0</v>
      </c>
      <c r="W27" s="174">
        <f t="shared" si="7"/>
        <v>0</v>
      </c>
      <c r="X27" s="174">
        <f t="shared" si="8"/>
        <v>0</v>
      </c>
      <c r="Y27" s="174"/>
      <c r="Z27" s="174"/>
      <c r="AA27" s="174">
        <f t="shared" si="9"/>
        <v>0</v>
      </c>
      <c r="AB27" s="174"/>
      <c r="AC27" s="174"/>
      <c r="AD27" s="174">
        <f t="shared" si="33"/>
        <v>0</v>
      </c>
      <c r="AE27" s="174"/>
      <c r="AF27" s="174"/>
      <c r="AG27" s="174">
        <f t="shared" si="10"/>
        <v>0</v>
      </c>
      <c r="AH27" s="174">
        <f t="shared" si="11"/>
        <v>0</v>
      </c>
      <c r="AI27" s="158">
        <f t="shared" si="12"/>
        <v>0</v>
      </c>
      <c r="AJ27" s="158">
        <f t="shared" si="13"/>
        <v>0</v>
      </c>
      <c r="AK27" s="168">
        <f t="shared" si="14"/>
        <v>0</v>
      </c>
      <c r="AL27" s="168">
        <f t="shared" si="15"/>
        <v>0</v>
      </c>
      <c r="AM27" s="168">
        <f t="shared" si="16"/>
        <v>0</v>
      </c>
      <c r="AN27" s="158"/>
      <c r="AO27" s="158"/>
      <c r="AP27" s="158">
        <f t="shared" si="17"/>
        <v>0</v>
      </c>
      <c r="AQ27" s="158"/>
      <c r="AR27" s="158"/>
      <c r="AS27" s="158">
        <f t="shared" si="18"/>
        <v>0</v>
      </c>
      <c r="AT27" s="158">
        <f t="shared" si="19"/>
        <v>0</v>
      </c>
      <c r="AU27" s="158">
        <f t="shared" si="20"/>
        <v>0</v>
      </c>
      <c r="AV27" s="158">
        <f t="shared" si="21"/>
        <v>0</v>
      </c>
      <c r="AW27" s="168">
        <f t="shared" si="22"/>
        <v>0</v>
      </c>
      <c r="AX27" s="168">
        <f t="shared" si="23"/>
        <v>0</v>
      </c>
      <c r="AY27" s="168">
        <f t="shared" si="24"/>
        <v>0</v>
      </c>
      <c r="AZ27" s="158"/>
      <c r="BA27" s="158"/>
      <c r="BB27" s="158">
        <f t="shared" si="25"/>
        <v>0</v>
      </c>
      <c r="BC27" s="158"/>
      <c r="BD27" s="158"/>
      <c r="BE27" s="158">
        <f t="shared" si="26"/>
        <v>0</v>
      </c>
      <c r="BF27" s="158">
        <f t="shared" si="27"/>
        <v>0</v>
      </c>
      <c r="BG27" s="158">
        <f t="shared" si="28"/>
        <v>0</v>
      </c>
      <c r="BH27" s="158">
        <f t="shared" si="29"/>
        <v>0</v>
      </c>
      <c r="BI27" s="158">
        <f t="shared" si="30"/>
        <v>0</v>
      </c>
      <c r="BJ27" s="158">
        <f t="shared" si="31"/>
        <v>0</v>
      </c>
      <c r="BK27" s="158">
        <f t="shared" si="32"/>
        <v>0</v>
      </c>
      <c r="BL27" s="158">
        <f t="shared" si="34"/>
        <v>0</v>
      </c>
      <c r="BM27" s="158">
        <f t="shared" si="35"/>
        <v>0</v>
      </c>
      <c r="BN27" s="158">
        <f t="shared" si="36"/>
        <v>0</v>
      </c>
      <c r="BO27" s="163"/>
      <c r="BP27" s="163"/>
      <c r="BQ27" s="163"/>
    </row>
    <row r="28" spans="1:69" ht="18" customHeight="1">
      <c r="B28" s="169">
        <v>23</v>
      </c>
      <c r="C28" s="229" t="s">
        <v>33</v>
      </c>
      <c r="D28" s="158"/>
      <c r="E28" s="158"/>
      <c r="F28" s="158">
        <f t="shared" si="0"/>
        <v>0</v>
      </c>
      <c r="G28" s="158"/>
      <c r="H28" s="158"/>
      <c r="I28" s="158">
        <f t="shared" si="1"/>
        <v>0</v>
      </c>
      <c r="J28" s="158"/>
      <c r="K28" s="158"/>
      <c r="L28" s="158">
        <f t="shared" si="2"/>
        <v>0</v>
      </c>
      <c r="M28" s="158"/>
      <c r="N28" s="158"/>
      <c r="O28" s="158">
        <f t="shared" si="3"/>
        <v>0</v>
      </c>
      <c r="P28" s="158"/>
      <c r="Q28" s="158"/>
      <c r="R28" s="158">
        <f t="shared" si="4"/>
        <v>0</v>
      </c>
      <c r="S28" s="158"/>
      <c r="T28" s="158"/>
      <c r="U28" s="158">
        <f t="shared" si="37"/>
        <v>0</v>
      </c>
      <c r="V28" s="158">
        <f t="shared" si="6"/>
        <v>0</v>
      </c>
      <c r="W28" s="158">
        <f t="shared" si="7"/>
        <v>0</v>
      </c>
      <c r="X28" s="158">
        <f t="shared" si="8"/>
        <v>0</v>
      </c>
      <c r="Y28" s="158"/>
      <c r="Z28" s="158"/>
      <c r="AA28" s="158">
        <f t="shared" si="9"/>
        <v>0</v>
      </c>
      <c r="AB28" s="158"/>
      <c r="AC28" s="158"/>
      <c r="AD28" s="158">
        <f t="shared" si="33"/>
        <v>0</v>
      </c>
      <c r="AE28" s="158"/>
      <c r="AF28" s="158"/>
      <c r="AG28" s="158">
        <f t="shared" si="10"/>
        <v>0</v>
      </c>
      <c r="AH28" s="158">
        <f t="shared" si="11"/>
        <v>0</v>
      </c>
      <c r="AI28" s="158">
        <f t="shared" si="12"/>
        <v>0</v>
      </c>
      <c r="AJ28" s="158">
        <f t="shared" si="13"/>
        <v>0</v>
      </c>
      <c r="AK28" s="168">
        <f t="shared" si="14"/>
        <v>0</v>
      </c>
      <c r="AL28" s="168">
        <f t="shared" si="15"/>
        <v>0</v>
      </c>
      <c r="AM28" s="168">
        <f t="shared" si="16"/>
        <v>0</v>
      </c>
      <c r="AN28" s="158"/>
      <c r="AO28" s="158"/>
      <c r="AP28" s="158">
        <f t="shared" si="17"/>
        <v>0</v>
      </c>
      <c r="AQ28" s="158"/>
      <c r="AR28" s="158"/>
      <c r="AS28" s="158">
        <f t="shared" si="18"/>
        <v>0</v>
      </c>
      <c r="AT28" s="158">
        <f t="shared" si="19"/>
        <v>0</v>
      </c>
      <c r="AU28" s="158">
        <f t="shared" si="20"/>
        <v>0</v>
      </c>
      <c r="AV28" s="158">
        <f t="shared" si="21"/>
        <v>0</v>
      </c>
      <c r="AW28" s="168">
        <f t="shared" si="22"/>
        <v>0</v>
      </c>
      <c r="AX28" s="168">
        <f t="shared" si="23"/>
        <v>0</v>
      </c>
      <c r="AY28" s="168">
        <f t="shared" si="24"/>
        <v>0</v>
      </c>
      <c r="AZ28" s="158"/>
      <c r="BA28" s="158"/>
      <c r="BB28" s="158">
        <f t="shared" si="25"/>
        <v>0</v>
      </c>
      <c r="BC28" s="158"/>
      <c r="BD28" s="158"/>
      <c r="BE28" s="158">
        <f t="shared" si="26"/>
        <v>0</v>
      </c>
      <c r="BF28" s="158">
        <f t="shared" si="27"/>
        <v>0</v>
      </c>
      <c r="BG28" s="158">
        <f t="shared" si="28"/>
        <v>0</v>
      </c>
      <c r="BH28" s="158">
        <f t="shared" si="29"/>
        <v>0</v>
      </c>
      <c r="BI28" s="158">
        <f t="shared" si="30"/>
        <v>0</v>
      </c>
      <c r="BJ28" s="158">
        <f t="shared" si="31"/>
        <v>0</v>
      </c>
      <c r="BK28" s="158">
        <f t="shared" si="32"/>
        <v>0</v>
      </c>
      <c r="BL28" s="158">
        <f t="shared" si="34"/>
        <v>0</v>
      </c>
      <c r="BM28" s="158">
        <f t="shared" si="35"/>
        <v>0</v>
      </c>
      <c r="BN28" s="158">
        <f t="shared" si="36"/>
        <v>0</v>
      </c>
      <c r="BO28" s="163"/>
      <c r="BP28" s="163"/>
      <c r="BQ28" s="163"/>
    </row>
    <row r="29" spans="1:69" ht="18" customHeight="1">
      <c r="A29" s="149">
        <v>0</v>
      </c>
      <c r="B29" s="169">
        <v>24</v>
      </c>
      <c r="C29" s="229" t="s">
        <v>34</v>
      </c>
      <c r="D29" s="172"/>
      <c r="E29" s="172"/>
      <c r="F29" s="172">
        <f t="shared" si="0"/>
        <v>0</v>
      </c>
      <c r="G29" s="158"/>
      <c r="H29" s="158"/>
      <c r="I29" s="158">
        <f t="shared" si="1"/>
        <v>0</v>
      </c>
      <c r="J29" s="158"/>
      <c r="K29" s="158"/>
      <c r="L29" s="158">
        <f t="shared" si="2"/>
        <v>0</v>
      </c>
      <c r="M29" s="158"/>
      <c r="N29" s="158"/>
      <c r="O29" s="158">
        <f t="shared" si="3"/>
        <v>0</v>
      </c>
      <c r="P29" s="158"/>
      <c r="Q29" s="158"/>
      <c r="R29" s="158">
        <f t="shared" si="4"/>
        <v>0</v>
      </c>
      <c r="S29" s="158"/>
      <c r="T29" s="158"/>
      <c r="U29" s="158">
        <f t="shared" si="37"/>
        <v>0</v>
      </c>
      <c r="V29" s="158">
        <f t="shared" si="6"/>
        <v>0</v>
      </c>
      <c r="W29" s="158">
        <f t="shared" si="7"/>
        <v>0</v>
      </c>
      <c r="X29" s="158">
        <f t="shared" si="8"/>
        <v>0</v>
      </c>
      <c r="Y29" s="158"/>
      <c r="Z29" s="158"/>
      <c r="AA29" s="158">
        <f t="shared" si="9"/>
        <v>0</v>
      </c>
      <c r="AB29" s="158"/>
      <c r="AC29" s="158"/>
      <c r="AD29" s="158">
        <f t="shared" si="33"/>
        <v>0</v>
      </c>
      <c r="AE29" s="158"/>
      <c r="AF29" s="158"/>
      <c r="AG29" s="158">
        <f t="shared" si="10"/>
        <v>0</v>
      </c>
      <c r="AH29" s="158">
        <f t="shared" si="11"/>
        <v>0</v>
      </c>
      <c r="AI29" s="158">
        <f t="shared" si="12"/>
        <v>0</v>
      </c>
      <c r="AJ29" s="158">
        <f t="shared" si="13"/>
        <v>0</v>
      </c>
      <c r="AK29" s="168">
        <f t="shared" si="14"/>
        <v>0</v>
      </c>
      <c r="AL29" s="168">
        <f t="shared" si="15"/>
        <v>0</v>
      </c>
      <c r="AM29" s="168">
        <f t="shared" si="16"/>
        <v>0</v>
      </c>
      <c r="AN29" s="158"/>
      <c r="AO29" s="158"/>
      <c r="AP29" s="158">
        <f t="shared" si="17"/>
        <v>0</v>
      </c>
      <c r="AQ29" s="158"/>
      <c r="AR29" s="158"/>
      <c r="AS29" s="158">
        <f t="shared" si="18"/>
        <v>0</v>
      </c>
      <c r="AT29" s="158">
        <f t="shared" si="19"/>
        <v>0</v>
      </c>
      <c r="AU29" s="158">
        <f t="shared" si="20"/>
        <v>0</v>
      </c>
      <c r="AV29" s="158">
        <f t="shared" si="21"/>
        <v>0</v>
      </c>
      <c r="AW29" s="168">
        <f t="shared" si="22"/>
        <v>0</v>
      </c>
      <c r="AX29" s="168">
        <f t="shared" si="23"/>
        <v>0</v>
      </c>
      <c r="AY29" s="168">
        <f t="shared" si="24"/>
        <v>0</v>
      </c>
      <c r="AZ29" s="158"/>
      <c r="BA29" s="158"/>
      <c r="BB29" s="158">
        <f t="shared" si="25"/>
        <v>0</v>
      </c>
      <c r="BC29" s="158"/>
      <c r="BD29" s="158"/>
      <c r="BE29" s="158">
        <f t="shared" si="26"/>
        <v>0</v>
      </c>
      <c r="BF29" s="158">
        <f t="shared" si="27"/>
        <v>0</v>
      </c>
      <c r="BG29" s="158">
        <f t="shared" si="28"/>
        <v>0</v>
      </c>
      <c r="BH29" s="158">
        <f t="shared" si="29"/>
        <v>0</v>
      </c>
      <c r="BI29" s="158">
        <f t="shared" si="30"/>
        <v>0</v>
      </c>
      <c r="BJ29" s="158">
        <f t="shared" si="31"/>
        <v>0</v>
      </c>
      <c r="BK29" s="158">
        <f t="shared" si="32"/>
        <v>0</v>
      </c>
      <c r="BL29" s="158">
        <f t="shared" si="34"/>
        <v>0</v>
      </c>
      <c r="BM29" s="158">
        <f t="shared" si="35"/>
        <v>0</v>
      </c>
      <c r="BN29" s="158">
        <f t="shared" si="36"/>
        <v>0</v>
      </c>
      <c r="BO29" s="163"/>
      <c r="BP29" s="163"/>
      <c r="BQ29" s="163"/>
    </row>
    <row r="30" spans="1:69" ht="18" customHeight="1">
      <c r="B30" s="169">
        <v>25</v>
      </c>
      <c r="C30" s="229" t="s">
        <v>35</v>
      </c>
      <c r="D30" s="158"/>
      <c r="E30" s="158"/>
      <c r="F30" s="158">
        <f t="shared" si="0"/>
        <v>0</v>
      </c>
      <c r="G30" s="158"/>
      <c r="H30" s="158"/>
      <c r="I30" s="158">
        <f t="shared" si="1"/>
        <v>0</v>
      </c>
      <c r="J30" s="158"/>
      <c r="K30" s="158"/>
      <c r="L30" s="158">
        <f t="shared" si="2"/>
        <v>0</v>
      </c>
      <c r="M30" s="158"/>
      <c r="N30" s="158"/>
      <c r="O30" s="158">
        <f t="shared" si="3"/>
        <v>0</v>
      </c>
      <c r="P30" s="158"/>
      <c r="Q30" s="158"/>
      <c r="R30" s="158">
        <f t="shared" si="4"/>
        <v>0</v>
      </c>
      <c r="S30" s="158"/>
      <c r="T30" s="158"/>
      <c r="U30" s="158">
        <f t="shared" si="37"/>
        <v>0</v>
      </c>
      <c r="V30" s="158">
        <f t="shared" si="6"/>
        <v>0</v>
      </c>
      <c r="W30" s="158">
        <f t="shared" si="7"/>
        <v>0</v>
      </c>
      <c r="X30" s="158">
        <f t="shared" si="8"/>
        <v>0</v>
      </c>
      <c r="Y30" s="158"/>
      <c r="Z30" s="158"/>
      <c r="AA30" s="158">
        <f t="shared" si="9"/>
        <v>0</v>
      </c>
      <c r="AB30" s="158"/>
      <c r="AC30" s="158"/>
      <c r="AD30" s="158">
        <f t="shared" si="33"/>
        <v>0</v>
      </c>
      <c r="AE30" s="158"/>
      <c r="AF30" s="158"/>
      <c r="AG30" s="158">
        <f t="shared" si="10"/>
        <v>0</v>
      </c>
      <c r="AH30" s="158">
        <f t="shared" si="11"/>
        <v>0</v>
      </c>
      <c r="AI30" s="158">
        <f t="shared" si="12"/>
        <v>0</v>
      </c>
      <c r="AJ30" s="158">
        <f t="shared" si="13"/>
        <v>0</v>
      </c>
      <c r="AK30" s="168">
        <f t="shared" si="14"/>
        <v>0</v>
      </c>
      <c r="AL30" s="168">
        <f t="shared" si="15"/>
        <v>0</v>
      </c>
      <c r="AM30" s="168">
        <f t="shared" si="16"/>
        <v>0</v>
      </c>
      <c r="AN30" s="158"/>
      <c r="AO30" s="158"/>
      <c r="AP30" s="158">
        <f t="shared" si="17"/>
        <v>0</v>
      </c>
      <c r="AQ30" s="158"/>
      <c r="AR30" s="158"/>
      <c r="AS30" s="158">
        <f t="shared" si="18"/>
        <v>0</v>
      </c>
      <c r="AT30" s="158">
        <f t="shared" si="19"/>
        <v>0</v>
      </c>
      <c r="AU30" s="158">
        <f t="shared" si="20"/>
        <v>0</v>
      </c>
      <c r="AV30" s="158">
        <f t="shared" si="21"/>
        <v>0</v>
      </c>
      <c r="AW30" s="168">
        <f t="shared" si="22"/>
        <v>0</v>
      </c>
      <c r="AX30" s="168">
        <f t="shared" si="23"/>
        <v>0</v>
      </c>
      <c r="AY30" s="168">
        <f t="shared" si="24"/>
        <v>0</v>
      </c>
      <c r="AZ30" s="158"/>
      <c r="BA30" s="158"/>
      <c r="BB30" s="158">
        <f t="shared" si="25"/>
        <v>0</v>
      </c>
      <c r="BC30" s="158"/>
      <c r="BD30" s="158"/>
      <c r="BE30" s="158">
        <f t="shared" si="26"/>
        <v>0</v>
      </c>
      <c r="BF30" s="158">
        <f t="shared" si="27"/>
        <v>0</v>
      </c>
      <c r="BG30" s="158">
        <f t="shared" si="28"/>
        <v>0</v>
      </c>
      <c r="BH30" s="158">
        <f t="shared" si="29"/>
        <v>0</v>
      </c>
      <c r="BI30" s="158">
        <f t="shared" si="30"/>
        <v>0</v>
      </c>
      <c r="BJ30" s="158">
        <f t="shared" si="31"/>
        <v>0</v>
      </c>
      <c r="BK30" s="158">
        <f t="shared" si="32"/>
        <v>0</v>
      </c>
      <c r="BL30" s="158">
        <f t="shared" si="34"/>
        <v>0</v>
      </c>
      <c r="BM30" s="158">
        <f t="shared" si="35"/>
        <v>0</v>
      </c>
      <c r="BN30" s="158">
        <f t="shared" si="36"/>
        <v>0</v>
      </c>
      <c r="BO30" s="163"/>
      <c r="BP30" s="163"/>
      <c r="BQ30" s="163"/>
    </row>
    <row r="31" spans="1:69" ht="18" customHeight="1">
      <c r="B31" s="169">
        <v>26</v>
      </c>
      <c r="C31" s="229" t="s">
        <v>36</v>
      </c>
      <c r="D31" s="158"/>
      <c r="E31" s="158"/>
      <c r="F31" s="158">
        <f t="shared" si="0"/>
        <v>0</v>
      </c>
      <c r="G31" s="158"/>
      <c r="H31" s="158"/>
      <c r="I31" s="158">
        <f t="shared" si="1"/>
        <v>0</v>
      </c>
      <c r="J31" s="158"/>
      <c r="K31" s="158"/>
      <c r="L31" s="158">
        <f t="shared" si="2"/>
        <v>0</v>
      </c>
      <c r="M31" s="158"/>
      <c r="N31" s="158"/>
      <c r="O31" s="158">
        <f t="shared" si="3"/>
        <v>0</v>
      </c>
      <c r="P31" s="158"/>
      <c r="Q31" s="158"/>
      <c r="R31" s="158">
        <f t="shared" si="4"/>
        <v>0</v>
      </c>
      <c r="S31" s="158"/>
      <c r="T31" s="158"/>
      <c r="U31" s="158">
        <f t="shared" si="37"/>
        <v>0</v>
      </c>
      <c r="V31" s="158">
        <f t="shared" si="6"/>
        <v>0</v>
      </c>
      <c r="W31" s="158">
        <f t="shared" si="7"/>
        <v>0</v>
      </c>
      <c r="X31" s="158">
        <f t="shared" si="8"/>
        <v>0</v>
      </c>
      <c r="Y31" s="158"/>
      <c r="Z31" s="158"/>
      <c r="AA31" s="158">
        <f t="shared" si="9"/>
        <v>0</v>
      </c>
      <c r="AB31" s="158"/>
      <c r="AC31" s="158"/>
      <c r="AD31" s="158">
        <f t="shared" si="33"/>
        <v>0</v>
      </c>
      <c r="AE31" s="158"/>
      <c r="AF31" s="158"/>
      <c r="AG31" s="158">
        <f t="shared" si="10"/>
        <v>0</v>
      </c>
      <c r="AH31" s="158">
        <f t="shared" si="11"/>
        <v>0</v>
      </c>
      <c r="AI31" s="158">
        <f t="shared" si="12"/>
        <v>0</v>
      </c>
      <c r="AJ31" s="158">
        <f t="shared" si="13"/>
        <v>0</v>
      </c>
      <c r="AK31" s="168">
        <f t="shared" si="14"/>
        <v>0</v>
      </c>
      <c r="AL31" s="168">
        <f t="shared" si="15"/>
        <v>0</v>
      </c>
      <c r="AM31" s="168">
        <f t="shared" si="16"/>
        <v>0</v>
      </c>
      <c r="AN31" s="158"/>
      <c r="AO31" s="158"/>
      <c r="AP31" s="158">
        <f t="shared" si="17"/>
        <v>0</v>
      </c>
      <c r="AQ31" s="158"/>
      <c r="AR31" s="158"/>
      <c r="AS31" s="158">
        <f t="shared" si="18"/>
        <v>0</v>
      </c>
      <c r="AT31" s="158">
        <f t="shared" si="19"/>
        <v>0</v>
      </c>
      <c r="AU31" s="158">
        <f t="shared" si="20"/>
        <v>0</v>
      </c>
      <c r="AV31" s="158">
        <f t="shared" si="21"/>
        <v>0</v>
      </c>
      <c r="AW31" s="168">
        <f t="shared" si="22"/>
        <v>0</v>
      </c>
      <c r="AX31" s="168">
        <f t="shared" si="23"/>
        <v>0</v>
      </c>
      <c r="AY31" s="168">
        <f t="shared" si="24"/>
        <v>0</v>
      </c>
      <c r="AZ31" s="158"/>
      <c r="BA31" s="158"/>
      <c r="BB31" s="158">
        <f t="shared" si="25"/>
        <v>0</v>
      </c>
      <c r="BC31" s="158"/>
      <c r="BD31" s="158"/>
      <c r="BE31" s="158">
        <f t="shared" si="26"/>
        <v>0</v>
      </c>
      <c r="BF31" s="158">
        <f t="shared" si="27"/>
        <v>0</v>
      </c>
      <c r="BG31" s="158">
        <f t="shared" si="28"/>
        <v>0</v>
      </c>
      <c r="BH31" s="158">
        <f t="shared" si="29"/>
        <v>0</v>
      </c>
      <c r="BI31" s="158">
        <f t="shared" si="30"/>
        <v>0</v>
      </c>
      <c r="BJ31" s="158">
        <f t="shared" si="31"/>
        <v>0</v>
      </c>
      <c r="BK31" s="158">
        <f t="shared" si="32"/>
        <v>0</v>
      </c>
      <c r="BL31" s="158">
        <f t="shared" si="34"/>
        <v>0</v>
      </c>
      <c r="BM31" s="158">
        <f t="shared" si="35"/>
        <v>0</v>
      </c>
      <c r="BN31" s="158">
        <f t="shared" si="36"/>
        <v>0</v>
      </c>
      <c r="BO31" s="163"/>
      <c r="BP31" s="163"/>
      <c r="BQ31" s="163"/>
    </row>
    <row r="32" spans="1:69" ht="18" customHeight="1">
      <c r="B32" s="169">
        <v>27</v>
      </c>
      <c r="C32" s="229" t="s">
        <v>37</v>
      </c>
      <c r="D32" s="170"/>
      <c r="E32" s="170"/>
      <c r="F32" s="158">
        <f t="shared" si="0"/>
        <v>0</v>
      </c>
      <c r="G32" s="170"/>
      <c r="H32" s="170"/>
      <c r="I32" s="158">
        <f t="shared" si="1"/>
        <v>0</v>
      </c>
      <c r="J32" s="170"/>
      <c r="K32" s="170"/>
      <c r="L32" s="158">
        <f t="shared" si="2"/>
        <v>0</v>
      </c>
      <c r="M32" s="170"/>
      <c r="N32" s="170"/>
      <c r="O32" s="158">
        <f t="shared" si="3"/>
        <v>0</v>
      </c>
      <c r="P32" s="170"/>
      <c r="Q32" s="170"/>
      <c r="R32" s="158">
        <f t="shared" si="4"/>
        <v>0</v>
      </c>
      <c r="S32" s="170"/>
      <c r="T32" s="170"/>
      <c r="U32" s="158">
        <f t="shared" si="37"/>
        <v>0</v>
      </c>
      <c r="V32" s="158">
        <f t="shared" si="6"/>
        <v>0</v>
      </c>
      <c r="W32" s="158">
        <f t="shared" si="7"/>
        <v>0</v>
      </c>
      <c r="X32" s="158">
        <f t="shared" si="8"/>
        <v>0</v>
      </c>
      <c r="Y32" s="171"/>
      <c r="Z32" s="170"/>
      <c r="AA32" s="158">
        <f t="shared" si="9"/>
        <v>0</v>
      </c>
      <c r="AB32" s="170"/>
      <c r="AC32" s="170"/>
      <c r="AD32" s="158">
        <f t="shared" si="33"/>
        <v>0</v>
      </c>
      <c r="AE32" s="170"/>
      <c r="AF32" s="170"/>
      <c r="AG32" s="158">
        <f t="shared" si="10"/>
        <v>0</v>
      </c>
      <c r="AH32" s="158">
        <f t="shared" si="11"/>
        <v>0</v>
      </c>
      <c r="AI32" s="158">
        <f t="shared" si="12"/>
        <v>0</v>
      </c>
      <c r="AJ32" s="158">
        <f t="shared" si="13"/>
        <v>0</v>
      </c>
      <c r="AK32" s="168">
        <f t="shared" si="14"/>
        <v>0</v>
      </c>
      <c r="AL32" s="168">
        <f t="shared" si="15"/>
        <v>0</v>
      </c>
      <c r="AM32" s="168">
        <f t="shared" si="16"/>
        <v>0</v>
      </c>
      <c r="AN32" s="170"/>
      <c r="AO32" s="170"/>
      <c r="AP32" s="158">
        <f t="shared" si="17"/>
        <v>0</v>
      </c>
      <c r="AQ32" s="170"/>
      <c r="AR32" s="170"/>
      <c r="AS32" s="158">
        <f t="shared" si="18"/>
        <v>0</v>
      </c>
      <c r="AT32" s="158">
        <f t="shared" si="19"/>
        <v>0</v>
      </c>
      <c r="AU32" s="158">
        <f t="shared" si="20"/>
        <v>0</v>
      </c>
      <c r="AV32" s="158">
        <f t="shared" si="21"/>
        <v>0</v>
      </c>
      <c r="AW32" s="168">
        <f t="shared" si="22"/>
        <v>0</v>
      </c>
      <c r="AX32" s="168">
        <f t="shared" si="23"/>
        <v>0</v>
      </c>
      <c r="AY32" s="168">
        <f t="shared" si="24"/>
        <v>0</v>
      </c>
      <c r="AZ32" s="170"/>
      <c r="BA32" s="170"/>
      <c r="BB32" s="158">
        <f t="shared" si="25"/>
        <v>0</v>
      </c>
      <c r="BC32" s="170"/>
      <c r="BD32" s="170"/>
      <c r="BE32" s="158">
        <f t="shared" si="26"/>
        <v>0</v>
      </c>
      <c r="BF32" s="158">
        <f t="shared" si="27"/>
        <v>0</v>
      </c>
      <c r="BG32" s="158">
        <f t="shared" si="28"/>
        <v>0</v>
      </c>
      <c r="BH32" s="158">
        <f t="shared" si="29"/>
        <v>0</v>
      </c>
      <c r="BI32" s="158">
        <f t="shared" si="30"/>
        <v>0</v>
      </c>
      <c r="BJ32" s="158">
        <f t="shared" si="31"/>
        <v>0</v>
      </c>
      <c r="BK32" s="158">
        <f t="shared" si="32"/>
        <v>0</v>
      </c>
      <c r="BL32" s="158">
        <f t="shared" si="34"/>
        <v>0</v>
      </c>
      <c r="BM32" s="158">
        <f t="shared" si="35"/>
        <v>0</v>
      </c>
      <c r="BN32" s="158">
        <f t="shared" si="36"/>
        <v>0</v>
      </c>
      <c r="BO32" s="163"/>
      <c r="BP32" s="163"/>
      <c r="BQ32" s="163"/>
    </row>
    <row r="33" spans="2:69" ht="18" customHeight="1">
      <c r="B33" s="169">
        <v>28</v>
      </c>
      <c r="C33" s="229" t="s">
        <v>57</v>
      </c>
      <c r="D33" s="170"/>
      <c r="E33" s="170"/>
      <c r="F33" s="158">
        <f t="shared" si="0"/>
        <v>0</v>
      </c>
      <c r="G33" s="170"/>
      <c r="H33" s="170"/>
      <c r="I33" s="158">
        <f t="shared" si="1"/>
        <v>0</v>
      </c>
      <c r="J33" s="170"/>
      <c r="K33" s="170"/>
      <c r="L33" s="158">
        <f t="shared" si="2"/>
        <v>0</v>
      </c>
      <c r="M33" s="170"/>
      <c r="N33" s="170"/>
      <c r="O33" s="158">
        <f t="shared" si="3"/>
        <v>0</v>
      </c>
      <c r="P33" s="170"/>
      <c r="Q33" s="170"/>
      <c r="R33" s="158">
        <f t="shared" si="4"/>
        <v>0</v>
      </c>
      <c r="S33" s="170"/>
      <c r="T33" s="170"/>
      <c r="U33" s="158">
        <f t="shared" si="37"/>
        <v>0</v>
      </c>
      <c r="V33" s="158">
        <f t="shared" si="6"/>
        <v>0</v>
      </c>
      <c r="W33" s="158">
        <f t="shared" si="7"/>
        <v>0</v>
      </c>
      <c r="X33" s="158">
        <f t="shared" si="8"/>
        <v>0</v>
      </c>
      <c r="Y33" s="170"/>
      <c r="Z33" s="170"/>
      <c r="AA33" s="158">
        <f t="shared" si="9"/>
        <v>0</v>
      </c>
      <c r="AB33" s="170"/>
      <c r="AC33" s="170"/>
      <c r="AD33" s="158">
        <f t="shared" si="33"/>
        <v>0</v>
      </c>
      <c r="AE33" s="170"/>
      <c r="AF33" s="170"/>
      <c r="AG33" s="158">
        <f t="shared" si="10"/>
        <v>0</v>
      </c>
      <c r="AH33" s="158">
        <f t="shared" si="11"/>
        <v>0</v>
      </c>
      <c r="AI33" s="158">
        <f t="shared" si="12"/>
        <v>0</v>
      </c>
      <c r="AJ33" s="158">
        <f t="shared" si="13"/>
        <v>0</v>
      </c>
      <c r="AK33" s="168">
        <f t="shared" si="14"/>
        <v>0</v>
      </c>
      <c r="AL33" s="168">
        <f t="shared" si="15"/>
        <v>0</v>
      </c>
      <c r="AM33" s="168">
        <f t="shared" si="16"/>
        <v>0</v>
      </c>
      <c r="AN33" s="170"/>
      <c r="AO33" s="170"/>
      <c r="AP33" s="158">
        <f t="shared" si="17"/>
        <v>0</v>
      </c>
      <c r="AQ33" s="170"/>
      <c r="AR33" s="170"/>
      <c r="AS33" s="158">
        <f t="shared" si="18"/>
        <v>0</v>
      </c>
      <c r="AT33" s="158">
        <f t="shared" si="19"/>
        <v>0</v>
      </c>
      <c r="AU33" s="158">
        <f t="shared" si="20"/>
        <v>0</v>
      </c>
      <c r="AV33" s="158">
        <f t="shared" si="21"/>
        <v>0</v>
      </c>
      <c r="AW33" s="168">
        <f t="shared" si="22"/>
        <v>0</v>
      </c>
      <c r="AX33" s="168">
        <f t="shared" si="23"/>
        <v>0</v>
      </c>
      <c r="AY33" s="168">
        <f t="shared" si="24"/>
        <v>0</v>
      </c>
      <c r="AZ33" s="170"/>
      <c r="BA33" s="170"/>
      <c r="BB33" s="158">
        <f t="shared" si="25"/>
        <v>0</v>
      </c>
      <c r="BC33" s="170"/>
      <c r="BD33" s="170"/>
      <c r="BE33" s="158">
        <f t="shared" si="26"/>
        <v>0</v>
      </c>
      <c r="BF33" s="158">
        <f t="shared" si="27"/>
        <v>0</v>
      </c>
      <c r="BG33" s="158">
        <f t="shared" si="28"/>
        <v>0</v>
      </c>
      <c r="BH33" s="158">
        <f t="shared" si="29"/>
        <v>0</v>
      </c>
      <c r="BI33" s="158">
        <f t="shared" si="30"/>
        <v>0</v>
      </c>
      <c r="BJ33" s="158">
        <f t="shared" si="31"/>
        <v>0</v>
      </c>
      <c r="BK33" s="158">
        <f t="shared" si="32"/>
        <v>0</v>
      </c>
      <c r="BL33" s="158">
        <f t="shared" si="34"/>
        <v>0</v>
      </c>
      <c r="BM33" s="158">
        <f t="shared" si="35"/>
        <v>0</v>
      </c>
      <c r="BN33" s="158">
        <f t="shared" si="36"/>
        <v>0</v>
      </c>
      <c r="BO33" s="163"/>
      <c r="BP33" s="163"/>
      <c r="BQ33" s="163"/>
    </row>
    <row r="34" spans="2:69" ht="18" customHeight="1">
      <c r="B34" s="169">
        <v>29</v>
      </c>
      <c r="C34" s="229" t="s">
        <v>39</v>
      </c>
      <c r="D34" s="158"/>
      <c r="E34" s="158"/>
      <c r="F34" s="158">
        <f t="shared" si="0"/>
        <v>0</v>
      </c>
      <c r="G34" s="158"/>
      <c r="H34" s="158"/>
      <c r="I34" s="158">
        <f t="shared" si="1"/>
        <v>0</v>
      </c>
      <c r="J34" s="158"/>
      <c r="K34" s="158"/>
      <c r="L34" s="158">
        <f t="shared" si="2"/>
        <v>0</v>
      </c>
      <c r="M34" s="158"/>
      <c r="N34" s="158"/>
      <c r="O34" s="158">
        <f t="shared" si="3"/>
        <v>0</v>
      </c>
      <c r="P34" s="158"/>
      <c r="Q34" s="158"/>
      <c r="R34" s="158">
        <f t="shared" si="4"/>
        <v>0</v>
      </c>
      <c r="S34" s="158"/>
      <c r="T34" s="158"/>
      <c r="U34" s="158">
        <f t="shared" si="37"/>
        <v>0</v>
      </c>
      <c r="V34" s="158">
        <f t="shared" si="6"/>
        <v>0</v>
      </c>
      <c r="W34" s="158">
        <f t="shared" si="7"/>
        <v>0</v>
      </c>
      <c r="X34" s="158">
        <f t="shared" si="8"/>
        <v>0</v>
      </c>
      <c r="Y34" s="158"/>
      <c r="Z34" s="158"/>
      <c r="AA34" s="158">
        <f t="shared" si="9"/>
        <v>0</v>
      </c>
      <c r="AB34" s="158"/>
      <c r="AC34" s="158"/>
      <c r="AD34" s="158">
        <f t="shared" si="33"/>
        <v>0</v>
      </c>
      <c r="AE34" s="158"/>
      <c r="AF34" s="158"/>
      <c r="AG34" s="158">
        <f t="shared" si="10"/>
        <v>0</v>
      </c>
      <c r="AH34" s="158">
        <f t="shared" si="11"/>
        <v>0</v>
      </c>
      <c r="AI34" s="158">
        <f t="shared" si="12"/>
        <v>0</v>
      </c>
      <c r="AJ34" s="158">
        <f t="shared" si="13"/>
        <v>0</v>
      </c>
      <c r="AK34" s="168">
        <f t="shared" si="14"/>
        <v>0</v>
      </c>
      <c r="AL34" s="168">
        <f t="shared" si="15"/>
        <v>0</v>
      </c>
      <c r="AM34" s="168">
        <f t="shared" si="16"/>
        <v>0</v>
      </c>
      <c r="AN34" s="158"/>
      <c r="AO34" s="158"/>
      <c r="AP34" s="158">
        <f t="shared" si="17"/>
        <v>0</v>
      </c>
      <c r="AQ34" s="158"/>
      <c r="AR34" s="158"/>
      <c r="AS34" s="158">
        <f t="shared" si="18"/>
        <v>0</v>
      </c>
      <c r="AT34" s="158">
        <f t="shared" si="19"/>
        <v>0</v>
      </c>
      <c r="AU34" s="158">
        <f t="shared" si="20"/>
        <v>0</v>
      </c>
      <c r="AV34" s="158">
        <f t="shared" si="21"/>
        <v>0</v>
      </c>
      <c r="AW34" s="168">
        <f t="shared" si="22"/>
        <v>0</v>
      </c>
      <c r="AX34" s="168">
        <f t="shared" si="23"/>
        <v>0</v>
      </c>
      <c r="AY34" s="168">
        <f t="shared" si="24"/>
        <v>0</v>
      </c>
      <c r="AZ34" s="158"/>
      <c r="BA34" s="158"/>
      <c r="BB34" s="158">
        <f t="shared" si="25"/>
        <v>0</v>
      </c>
      <c r="BC34" s="158"/>
      <c r="BD34" s="158"/>
      <c r="BE34" s="158">
        <f t="shared" si="26"/>
        <v>0</v>
      </c>
      <c r="BF34" s="158">
        <f t="shared" si="27"/>
        <v>0</v>
      </c>
      <c r="BG34" s="158">
        <f t="shared" si="28"/>
        <v>0</v>
      </c>
      <c r="BH34" s="158">
        <f t="shared" si="29"/>
        <v>0</v>
      </c>
      <c r="BI34" s="158">
        <f t="shared" si="30"/>
        <v>0</v>
      </c>
      <c r="BJ34" s="158">
        <f t="shared" si="31"/>
        <v>0</v>
      </c>
      <c r="BK34" s="158">
        <f t="shared" si="32"/>
        <v>0</v>
      </c>
      <c r="BL34" s="158">
        <f t="shared" si="34"/>
        <v>0</v>
      </c>
      <c r="BM34" s="158">
        <f t="shared" si="35"/>
        <v>0</v>
      </c>
      <c r="BN34" s="158">
        <f t="shared" si="36"/>
        <v>0</v>
      </c>
      <c r="BO34" s="163"/>
      <c r="BP34" s="163"/>
      <c r="BQ34" s="163"/>
    </row>
    <row r="35" spans="2:69" ht="18" customHeight="1">
      <c r="B35" s="169">
        <v>30</v>
      </c>
      <c r="C35" s="229" t="s">
        <v>40</v>
      </c>
      <c r="D35" s="158"/>
      <c r="E35" s="158"/>
      <c r="F35" s="158">
        <f t="shared" si="0"/>
        <v>0</v>
      </c>
      <c r="G35" s="158"/>
      <c r="H35" s="158"/>
      <c r="I35" s="158">
        <f t="shared" si="1"/>
        <v>0</v>
      </c>
      <c r="J35" s="158"/>
      <c r="K35" s="158"/>
      <c r="L35" s="158">
        <f t="shared" si="2"/>
        <v>0</v>
      </c>
      <c r="M35" s="158"/>
      <c r="N35" s="158"/>
      <c r="O35" s="158">
        <f t="shared" si="3"/>
        <v>0</v>
      </c>
      <c r="P35" s="158"/>
      <c r="Q35" s="158"/>
      <c r="R35" s="158">
        <f t="shared" si="4"/>
        <v>0</v>
      </c>
      <c r="S35" s="158"/>
      <c r="T35" s="158"/>
      <c r="U35" s="158">
        <f t="shared" si="37"/>
        <v>0</v>
      </c>
      <c r="V35" s="158">
        <f t="shared" si="6"/>
        <v>0</v>
      </c>
      <c r="W35" s="158">
        <f t="shared" si="7"/>
        <v>0</v>
      </c>
      <c r="X35" s="158">
        <f t="shared" si="8"/>
        <v>0</v>
      </c>
      <c r="Y35" s="158"/>
      <c r="Z35" s="158"/>
      <c r="AA35" s="158">
        <f t="shared" si="9"/>
        <v>0</v>
      </c>
      <c r="AB35" s="158"/>
      <c r="AC35" s="158"/>
      <c r="AD35" s="158">
        <f t="shared" si="33"/>
        <v>0</v>
      </c>
      <c r="AE35" s="158"/>
      <c r="AF35" s="158"/>
      <c r="AG35" s="158">
        <f t="shared" si="10"/>
        <v>0</v>
      </c>
      <c r="AH35" s="158">
        <f t="shared" si="11"/>
        <v>0</v>
      </c>
      <c r="AI35" s="158">
        <f t="shared" si="12"/>
        <v>0</v>
      </c>
      <c r="AJ35" s="158">
        <f t="shared" si="13"/>
        <v>0</v>
      </c>
      <c r="AK35" s="168">
        <f t="shared" si="14"/>
        <v>0</v>
      </c>
      <c r="AL35" s="168">
        <f t="shared" si="15"/>
        <v>0</v>
      </c>
      <c r="AM35" s="168">
        <f t="shared" si="16"/>
        <v>0</v>
      </c>
      <c r="AN35" s="158"/>
      <c r="AO35" s="158"/>
      <c r="AP35" s="158">
        <f t="shared" si="17"/>
        <v>0</v>
      </c>
      <c r="AQ35" s="158"/>
      <c r="AR35" s="158"/>
      <c r="AS35" s="158">
        <f t="shared" si="18"/>
        <v>0</v>
      </c>
      <c r="AT35" s="158">
        <f t="shared" si="19"/>
        <v>0</v>
      </c>
      <c r="AU35" s="158">
        <f t="shared" si="20"/>
        <v>0</v>
      </c>
      <c r="AV35" s="158">
        <f t="shared" si="21"/>
        <v>0</v>
      </c>
      <c r="AW35" s="168">
        <f t="shared" si="22"/>
        <v>0</v>
      </c>
      <c r="AX35" s="168">
        <f t="shared" si="23"/>
        <v>0</v>
      </c>
      <c r="AY35" s="168">
        <f t="shared" si="24"/>
        <v>0</v>
      </c>
      <c r="AZ35" s="158"/>
      <c r="BA35" s="158"/>
      <c r="BB35" s="158">
        <f t="shared" si="25"/>
        <v>0</v>
      </c>
      <c r="BC35" s="158"/>
      <c r="BD35" s="158"/>
      <c r="BE35" s="158">
        <f t="shared" si="26"/>
        <v>0</v>
      </c>
      <c r="BF35" s="158">
        <f t="shared" si="27"/>
        <v>0</v>
      </c>
      <c r="BG35" s="158">
        <f t="shared" si="28"/>
        <v>0</v>
      </c>
      <c r="BH35" s="158">
        <f t="shared" si="29"/>
        <v>0</v>
      </c>
      <c r="BI35" s="158">
        <f t="shared" si="30"/>
        <v>0</v>
      </c>
      <c r="BJ35" s="158">
        <f t="shared" si="31"/>
        <v>0</v>
      </c>
      <c r="BK35" s="158">
        <f t="shared" si="32"/>
        <v>0</v>
      </c>
      <c r="BL35" s="158">
        <f t="shared" si="34"/>
        <v>0</v>
      </c>
      <c r="BM35" s="158">
        <f t="shared" si="35"/>
        <v>0</v>
      </c>
      <c r="BN35" s="158">
        <f t="shared" si="36"/>
        <v>0</v>
      </c>
      <c r="BO35" s="163"/>
      <c r="BP35" s="163"/>
      <c r="BQ35" s="163"/>
    </row>
    <row r="36" spans="2:69" ht="18" customHeight="1">
      <c r="B36" s="169">
        <v>31</v>
      </c>
      <c r="C36" s="229" t="s">
        <v>41</v>
      </c>
      <c r="D36" s="170"/>
      <c r="E36" s="170"/>
      <c r="F36" s="158">
        <f t="shared" si="0"/>
        <v>0</v>
      </c>
      <c r="G36" s="170">
        <v>2877</v>
      </c>
      <c r="H36" s="170">
        <v>2768</v>
      </c>
      <c r="I36" s="158">
        <f t="shared" si="1"/>
        <v>5645</v>
      </c>
      <c r="J36" s="170">
        <v>2825</v>
      </c>
      <c r="K36" s="170">
        <v>2669</v>
      </c>
      <c r="L36" s="158">
        <f t="shared" si="2"/>
        <v>5494</v>
      </c>
      <c r="M36" s="170">
        <v>2885</v>
      </c>
      <c r="N36" s="170">
        <v>2625</v>
      </c>
      <c r="O36" s="158">
        <f t="shared" si="3"/>
        <v>5510</v>
      </c>
      <c r="P36" s="170">
        <v>2922</v>
      </c>
      <c r="Q36" s="170">
        <v>2733</v>
      </c>
      <c r="R36" s="158">
        <f t="shared" si="4"/>
        <v>5655</v>
      </c>
      <c r="S36" s="170">
        <v>3074</v>
      </c>
      <c r="T36" s="170">
        <v>2708</v>
      </c>
      <c r="U36" s="158">
        <f t="shared" si="37"/>
        <v>5782</v>
      </c>
      <c r="V36" s="158">
        <f t="shared" si="6"/>
        <v>14583</v>
      </c>
      <c r="W36" s="158">
        <f t="shared" si="7"/>
        <v>13503</v>
      </c>
      <c r="X36" s="158">
        <f t="shared" si="8"/>
        <v>28086</v>
      </c>
      <c r="Y36" s="170">
        <v>2895</v>
      </c>
      <c r="Z36" s="170">
        <v>2583</v>
      </c>
      <c r="AA36" s="158">
        <f t="shared" si="9"/>
        <v>5478</v>
      </c>
      <c r="AB36" s="170">
        <v>2611</v>
      </c>
      <c r="AC36" s="170">
        <v>2377</v>
      </c>
      <c r="AD36" s="158">
        <f t="shared" si="33"/>
        <v>4988</v>
      </c>
      <c r="AE36" s="170">
        <v>2259</v>
      </c>
      <c r="AF36" s="170">
        <v>1849</v>
      </c>
      <c r="AG36" s="158">
        <f t="shared" si="10"/>
        <v>4108</v>
      </c>
      <c r="AH36" s="158">
        <f t="shared" si="11"/>
        <v>7765</v>
      </c>
      <c r="AI36" s="158">
        <f t="shared" si="12"/>
        <v>6809</v>
      </c>
      <c r="AJ36" s="158">
        <f t="shared" si="13"/>
        <v>14574</v>
      </c>
      <c r="AK36" s="168">
        <f t="shared" si="14"/>
        <v>22348</v>
      </c>
      <c r="AL36" s="168">
        <f t="shared" si="15"/>
        <v>20312</v>
      </c>
      <c r="AM36" s="168">
        <f t="shared" si="16"/>
        <v>42660</v>
      </c>
      <c r="AN36" s="170">
        <v>1931</v>
      </c>
      <c r="AO36" s="170">
        <v>1516</v>
      </c>
      <c r="AP36" s="158">
        <f t="shared" si="17"/>
        <v>3447</v>
      </c>
      <c r="AQ36" s="170">
        <v>1639</v>
      </c>
      <c r="AR36" s="170">
        <v>1141</v>
      </c>
      <c r="AS36" s="158">
        <f t="shared" si="18"/>
        <v>2780</v>
      </c>
      <c r="AT36" s="158">
        <f t="shared" si="19"/>
        <v>3570</v>
      </c>
      <c r="AU36" s="158">
        <f t="shared" si="20"/>
        <v>2657</v>
      </c>
      <c r="AV36" s="158">
        <f t="shared" si="21"/>
        <v>6227</v>
      </c>
      <c r="AW36" s="168">
        <f t="shared" si="22"/>
        <v>25918</v>
      </c>
      <c r="AX36" s="168">
        <f t="shared" si="23"/>
        <v>22969</v>
      </c>
      <c r="AY36" s="168">
        <f t="shared" si="24"/>
        <v>48887</v>
      </c>
      <c r="AZ36" s="170">
        <v>1356</v>
      </c>
      <c r="BA36" s="170">
        <v>821</v>
      </c>
      <c r="BB36" s="158">
        <f t="shared" si="25"/>
        <v>2177</v>
      </c>
      <c r="BC36" s="170">
        <v>592</v>
      </c>
      <c r="BD36" s="170">
        <v>310</v>
      </c>
      <c r="BE36" s="158">
        <f t="shared" si="26"/>
        <v>902</v>
      </c>
      <c r="BF36" s="158">
        <f t="shared" si="27"/>
        <v>1948</v>
      </c>
      <c r="BG36" s="158">
        <f t="shared" si="28"/>
        <v>1131</v>
      </c>
      <c r="BH36" s="158">
        <f t="shared" si="29"/>
        <v>3079</v>
      </c>
      <c r="BI36" s="158">
        <f t="shared" si="30"/>
        <v>27866</v>
      </c>
      <c r="BJ36" s="158">
        <f t="shared" si="31"/>
        <v>24100</v>
      </c>
      <c r="BK36" s="158">
        <f t="shared" si="32"/>
        <v>51966</v>
      </c>
      <c r="BL36" s="158">
        <f t="shared" si="34"/>
        <v>27866</v>
      </c>
      <c r="BM36" s="158">
        <f t="shared" si="35"/>
        <v>24100</v>
      </c>
      <c r="BN36" s="158">
        <f t="shared" si="36"/>
        <v>51966</v>
      </c>
      <c r="BO36" s="163"/>
      <c r="BP36" s="163"/>
      <c r="BQ36" s="163"/>
    </row>
    <row r="37" spans="2:69" ht="18" customHeight="1">
      <c r="B37" s="169">
        <v>32</v>
      </c>
      <c r="C37" s="229" t="s">
        <v>42</v>
      </c>
      <c r="D37" s="158">
        <v>1076</v>
      </c>
      <c r="E37" s="158">
        <v>733</v>
      </c>
      <c r="F37" s="158">
        <f t="shared" si="0"/>
        <v>1809</v>
      </c>
      <c r="G37" s="158">
        <v>1209</v>
      </c>
      <c r="H37" s="158">
        <v>1009</v>
      </c>
      <c r="I37" s="158">
        <f t="shared" si="1"/>
        <v>2218</v>
      </c>
      <c r="J37" s="158">
        <v>1093</v>
      </c>
      <c r="K37" s="158">
        <v>995</v>
      </c>
      <c r="L37" s="158">
        <f t="shared" si="2"/>
        <v>2088</v>
      </c>
      <c r="M37" s="158">
        <v>1160</v>
      </c>
      <c r="N37" s="158">
        <v>1015</v>
      </c>
      <c r="O37" s="158">
        <f t="shared" si="3"/>
        <v>2175</v>
      </c>
      <c r="P37" s="158">
        <v>1065</v>
      </c>
      <c r="Q37" s="158">
        <v>995</v>
      </c>
      <c r="R37" s="158">
        <f t="shared" si="4"/>
        <v>2060</v>
      </c>
      <c r="S37" s="158">
        <v>1051</v>
      </c>
      <c r="T37" s="158">
        <v>928</v>
      </c>
      <c r="U37" s="158">
        <f t="shared" si="37"/>
        <v>1979</v>
      </c>
      <c r="V37" s="158">
        <f t="shared" si="6"/>
        <v>5578</v>
      </c>
      <c r="W37" s="158">
        <f t="shared" si="7"/>
        <v>4942</v>
      </c>
      <c r="X37" s="158">
        <f t="shared" si="8"/>
        <v>10520</v>
      </c>
      <c r="Y37" s="158">
        <v>898</v>
      </c>
      <c r="Z37" s="158">
        <v>867</v>
      </c>
      <c r="AA37" s="158">
        <f t="shared" si="9"/>
        <v>1765</v>
      </c>
      <c r="AB37" s="158">
        <v>1000</v>
      </c>
      <c r="AC37" s="158">
        <v>842</v>
      </c>
      <c r="AD37" s="158">
        <f t="shared" si="33"/>
        <v>1842</v>
      </c>
      <c r="AE37" s="158">
        <v>820</v>
      </c>
      <c r="AF37" s="158">
        <v>792</v>
      </c>
      <c r="AG37" s="158">
        <f t="shared" si="10"/>
        <v>1612</v>
      </c>
      <c r="AH37" s="158">
        <f t="shared" si="11"/>
        <v>2718</v>
      </c>
      <c r="AI37" s="158">
        <f t="shared" si="12"/>
        <v>2501</v>
      </c>
      <c r="AJ37" s="158">
        <f t="shared" si="13"/>
        <v>5219</v>
      </c>
      <c r="AK37" s="168">
        <f t="shared" si="14"/>
        <v>8296</v>
      </c>
      <c r="AL37" s="168">
        <f t="shared" si="15"/>
        <v>7443</v>
      </c>
      <c r="AM37" s="168">
        <f t="shared" si="16"/>
        <v>15739</v>
      </c>
      <c r="AN37" s="158">
        <v>761</v>
      </c>
      <c r="AO37" s="158">
        <v>799</v>
      </c>
      <c r="AP37" s="158">
        <f t="shared" si="17"/>
        <v>1560</v>
      </c>
      <c r="AQ37" s="158">
        <v>743</v>
      </c>
      <c r="AR37" s="158">
        <v>682</v>
      </c>
      <c r="AS37" s="158">
        <f t="shared" si="18"/>
        <v>1425</v>
      </c>
      <c r="AT37" s="158">
        <f t="shared" si="19"/>
        <v>1504</v>
      </c>
      <c r="AU37" s="158">
        <f t="shared" si="20"/>
        <v>1481</v>
      </c>
      <c r="AV37" s="158">
        <f t="shared" si="21"/>
        <v>2985</v>
      </c>
      <c r="AW37" s="168">
        <f t="shared" si="22"/>
        <v>9800</v>
      </c>
      <c r="AX37" s="168">
        <f t="shared" si="23"/>
        <v>8924</v>
      </c>
      <c r="AY37" s="168">
        <f t="shared" si="24"/>
        <v>18724</v>
      </c>
      <c r="AZ37" s="158">
        <v>470</v>
      </c>
      <c r="BA37" s="158">
        <v>394</v>
      </c>
      <c r="BB37" s="158">
        <f t="shared" si="25"/>
        <v>864</v>
      </c>
      <c r="BC37" s="158">
        <v>310</v>
      </c>
      <c r="BD37" s="158">
        <v>285</v>
      </c>
      <c r="BE37" s="158">
        <f t="shared" si="26"/>
        <v>595</v>
      </c>
      <c r="BF37" s="158">
        <f t="shared" si="27"/>
        <v>780</v>
      </c>
      <c r="BG37" s="158">
        <f t="shared" si="28"/>
        <v>679</v>
      </c>
      <c r="BH37" s="158">
        <f t="shared" si="29"/>
        <v>1459</v>
      </c>
      <c r="BI37" s="158">
        <f t="shared" si="30"/>
        <v>10580</v>
      </c>
      <c r="BJ37" s="158">
        <f t="shared" si="31"/>
        <v>9603</v>
      </c>
      <c r="BK37" s="158">
        <f t="shared" si="32"/>
        <v>20183</v>
      </c>
      <c r="BL37" s="158">
        <f t="shared" si="34"/>
        <v>11656</v>
      </c>
      <c r="BM37" s="158">
        <f t="shared" si="35"/>
        <v>10336</v>
      </c>
      <c r="BN37" s="158">
        <f t="shared" si="36"/>
        <v>21992</v>
      </c>
      <c r="BO37" s="163"/>
      <c r="BP37" s="163"/>
      <c r="BQ37" s="163"/>
    </row>
    <row r="38" spans="2:69" ht="18" customHeight="1">
      <c r="B38" s="169">
        <v>33</v>
      </c>
      <c r="C38" s="229" t="s">
        <v>43</v>
      </c>
      <c r="D38" s="158">
        <v>1448</v>
      </c>
      <c r="E38" s="158">
        <v>1209</v>
      </c>
      <c r="F38" s="158">
        <f t="shared" si="0"/>
        <v>2657</v>
      </c>
      <c r="G38" s="158">
        <v>3065</v>
      </c>
      <c r="H38" s="158">
        <v>2681</v>
      </c>
      <c r="I38" s="158">
        <f t="shared" si="1"/>
        <v>5746</v>
      </c>
      <c r="J38" s="158">
        <v>3156</v>
      </c>
      <c r="K38" s="158">
        <v>2778</v>
      </c>
      <c r="L38" s="158">
        <f t="shared" si="2"/>
        <v>5934</v>
      </c>
      <c r="M38" s="158">
        <v>3038</v>
      </c>
      <c r="N38" s="158">
        <v>2504</v>
      </c>
      <c r="O38" s="158">
        <f t="shared" si="3"/>
        <v>5542</v>
      </c>
      <c r="P38" s="158">
        <v>3137</v>
      </c>
      <c r="Q38" s="158">
        <v>2709</v>
      </c>
      <c r="R38" s="158">
        <f t="shared" si="4"/>
        <v>5846</v>
      </c>
      <c r="S38" s="158">
        <v>3024</v>
      </c>
      <c r="T38" s="158">
        <v>2418</v>
      </c>
      <c r="U38" s="158">
        <f t="shared" si="37"/>
        <v>5442</v>
      </c>
      <c r="V38" s="158">
        <f t="shared" si="6"/>
        <v>15420</v>
      </c>
      <c r="W38" s="158">
        <f t="shared" si="7"/>
        <v>13090</v>
      </c>
      <c r="X38" s="158">
        <f t="shared" si="8"/>
        <v>28510</v>
      </c>
      <c r="Y38" s="158">
        <v>3216</v>
      </c>
      <c r="Z38" s="158">
        <v>2483</v>
      </c>
      <c r="AA38" s="158">
        <f t="shared" si="9"/>
        <v>5699</v>
      </c>
      <c r="AB38" s="158">
        <v>2837</v>
      </c>
      <c r="AC38" s="158">
        <v>2341</v>
      </c>
      <c r="AD38" s="158">
        <f t="shared" si="33"/>
        <v>5178</v>
      </c>
      <c r="AE38" s="158">
        <v>3199</v>
      </c>
      <c r="AF38" s="158">
        <v>2317</v>
      </c>
      <c r="AG38" s="158">
        <f t="shared" si="10"/>
        <v>5516</v>
      </c>
      <c r="AH38" s="158">
        <f t="shared" si="11"/>
        <v>9252</v>
      </c>
      <c r="AI38" s="158">
        <f t="shared" si="12"/>
        <v>7141</v>
      </c>
      <c r="AJ38" s="158">
        <f t="shared" si="13"/>
        <v>16393</v>
      </c>
      <c r="AK38" s="168">
        <f t="shared" si="14"/>
        <v>24672</v>
      </c>
      <c r="AL38" s="168">
        <f t="shared" si="15"/>
        <v>20231</v>
      </c>
      <c r="AM38" s="168">
        <f t="shared" si="16"/>
        <v>44903</v>
      </c>
      <c r="AN38" s="158">
        <v>3644</v>
      </c>
      <c r="AO38" s="158">
        <v>2539</v>
      </c>
      <c r="AP38" s="158">
        <f t="shared" si="17"/>
        <v>6183</v>
      </c>
      <c r="AQ38" s="158">
        <v>3715</v>
      </c>
      <c r="AR38" s="158">
        <v>2926</v>
      </c>
      <c r="AS38" s="158">
        <f t="shared" si="18"/>
        <v>6641</v>
      </c>
      <c r="AT38" s="158">
        <f t="shared" si="19"/>
        <v>7359</v>
      </c>
      <c r="AU38" s="158">
        <f t="shared" si="20"/>
        <v>5465</v>
      </c>
      <c r="AV38" s="158">
        <f t="shared" si="21"/>
        <v>12824</v>
      </c>
      <c r="AW38" s="168">
        <f t="shared" si="22"/>
        <v>32031</v>
      </c>
      <c r="AX38" s="168">
        <f t="shared" si="23"/>
        <v>25696</v>
      </c>
      <c r="AY38" s="168">
        <f t="shared" si="24"/>
        <v>57727</v>
      </c>
      <c r="AZ38" s="158">
        <v>2645</v>
      </c>
      <c r="BA38" s="158">
        <v>2117</v>
      </c>
      <c r="BB38" s="158">
        <f t="shared" si="25"/>
        <v>4762</v>
      </c>
      <c r="BC38" s="158">
        <v>1860</v>
      </c>
      <c r="BD38" s="158">
        <v>1577</v>
      </c>
      <c r="BE38" s="158">
        <f t="shared" si="26"/>
        <v>3437</v>
      </c>
      <c r="BF38" s="158">
        <f t="shared" si="27"/>
        <v>4505</v>
      </c>
      <c r="BG38" s="158">
        <f t="shared" si="28"/>
        <v>3694</v>
      </c>
      <c r="BH38" s="158">
        <f t="shared" si="29"/>
        <v>8199</v>
      </c>
      <c r="BI38" s="158">
        <f t="shared" si="30"/>
        <v>36536</v>
      </c>
      <c r="BJ38" s="158">
        <f t="shared" si="31"/>
        <v>29390</v>
      </c>
      <c r="BK38" s="158">
        <f t="shared" si="32"/>
        <v>65926</v>
      </c>
      <c r="BL38" s="158">
        <f t="shared" si="34"/>
        <v>37984</v>
      </c>
      <c r="BM38" s="158">
        <f t="shared" si="35"/>
        <v>30599</v>
      </c>
      <c r="BN38" s="158">
        <f t="shared" si="36"/>
        <v>68583</v>
      </c>
      <c r="BO38" s="163"/>
      <c r="BP38" s="163"/>
      <c r="BQ38" s="163"/>
    </row>
    <row r="39" spans="2:69" ht="18" customHeight="1">
      <c r="B39" s="169">
        <v>34</v>
      </c>
      <c r="C39" s="229" t="s">
        <v>58</v>
      </c>
      <c r="D39" s="158">
        <v>0</v>
      </c>
      <c r="E39" s="158">
        <v>0</v>
      </c>
      <c r="F39" s="158">
        <f t="shared" si="0"/>
        <v>0</v>
      </c>
      <c r="G39" s="158">
        <v>0</v>
      </c>
      <c r="H39" s="158">
        <v>0</v>
      </c>
      <c r="I39" s="158">
        <f t="shared" si="1"/>
        <v>0</v>
      </c>
      <c r="J39" s="158">
        <v>0</v>
      </c>
      <c r="K39" s="158">
        <v>0</v>
      </c>
      <c r="L39" s="158">
        <f t="shared" si="2"/>
        <v>0</v>
      </c>
      <c r="M39" s="158">
        <v>0</v>
      </c>
      <c r="N39" s="158">
        <v>0</v>
      </c>
      <c r="O39" s="158">
        <f t="shared" si="3"/>
        <v>0</v>
      </c>
      <c r="P39" s="158">
        <v>0</v>
      </c>
      <c r="Q39" s="158">
        <v>0</v>
      </c>
      <c r="R39" s="158">
        <f t="shared" si="4"/>
        <v>0</v>
      </c>
      <c r="S39" s="158">
        <v>0</v>
      </c>
      <c r="T39" s="158">
        <v>0</v>
      </c>
      <c r="U39" s="158">
        <f t="shared" si="37"/>
        <v>0</v>
      </c>
      <c r="V39" s="158">
        <f t="shared" si="6"/>
        <v>0</v>
      </c>
      <c r="W39" s="158">
        <f t="shared" si="7"/>
        <v>0</v>
      </c>
      <c r="X39" s="158">
        <f t="shared" si="8"/>
        <v>0</v>
      </c>
      <c r="Y39" s="158">
        <v>0</v>
      </c>
      <c r="Z39" s="158">
        <v>0</v>
      </c>
      <c r="AA39" s="158">
        <f t="shared" si="9"/>
        <v>0</v>
      </c>
      <c r="AB39" s="158">
        <v>0</v>
      </c>
      <c r="AC39" s="158">
        <v>0</v>
      </c>
      <c r="AD39" s="158">
        <f t="shared" si="33"/>
        <v>0</v>
      </c>
      <c r="AE39" s="158">
        <v>0</v>
      </c>
      <c r="AF39" s="158">
        <v>0</v>
      </c>
      <c r="AG39" s="158">
        <f t="shared" si="10"/>
        <v>0</v>
      </c>
      <c r="AH39" s="158">
        <f t="shared" si="11"/>
        <v>0</v>
      </c>
      <c r="AI39" s="158">
        <f t="shared" si="12"/>
        <v>0</v>
      </c>
      <c r="AJ39" s="158">
        <f t="shared" si="13"/>
        <v>0</v>
      </c>
      <c r="AK39" s="168">
        <f t="shared" si="14"/>
        <v>0</v>
      </c>
      <c r="AL39" s="168">
        <f t="shared" si="15"/>
        <v>0</v>
      </c>
      <c r="AM39" s="168">
        <f t="shared" si="16"/>
        <v>0</v>
      </c>
      <c r="AN39" s="158">
        <v>0</v>
      </c>
      <c r="AO39" s="158">
        <v>0</v>
      </c>
      <c r="AP39" s="158">
        <f t="shared" si="17"/>
        <v>0</v>
      </c>
      <c r="AQ39" s="158">
        <v>0</v>
      </c>
      <c r="AR39" s="158">
        <v>0</v>
      </c>
      <c r="AS39" s="158">
        <f t="shared" si="18"/>
        <v>0</v>
      </c>
      <c r="AT39" s="158">
        <f t="shared" si="19"/>
        <v>0</v>
      </c>
      <c r="AU39" s="158">
        <f t="shared" si="20"/>
        <v>0</v>
      </c>
      <c r="AV39" s="158">
        <f t="shared" si="21"/>
        <v>0</v>
      </c>
      <c r="AW39" s="168">
        <f t="shared" si="22"/>
        <v>0</v>
      </c>
      <c r="AX39" s="168">
        <f t="shared" si="23"/>
        <v>0</v>
      </c>
      <c r="AY39" s="168">
        <f t="shared" si="24"/>
        <v>0</v>
      </c>
      <c r="AZ39" s="158">
        <v>0</v>
      </c>
      <c r="BA39" s="158">
        <v>0</v>
      </c>
      <c r="BB39" s="158">
        <f t="shared" si="25"/>
        <v>0</v>
      </c>
      <c r="BC39" s="158">
        <v>0</v>
      </c>
      <c r="BD39" s="158">
        <v>0</v>
      </c>
      <c r="BE39" s="158">
        <f t="shared" si="26"/>
        <v>0</v>
      </c>
      <c r="BF39" s="158">
        <f t="shared" si="27"/>
        <v>0</v>
      </c>
      <c r="BG39" s="158">
        <f t="shared" si="28"/>
        <v>0</v>
      </c>
      <c r="BH39" s="158">
        <f t="shared" si="29"/>
        <v>0</v>
      </c>
      <c r="BI39" s="158">
        <f t="shared" si="30"/>
        <v>0</v>
      </c>
      <c r="BJ39" s="158">
        <f t="shared" si="31"/>
        <v>0</v>
      </c>
      <c r="BK39" s="158">
        <f t="shared" si="32"/>
        <v>0</v>
      </c>
      <c r="BL39" s="158">
        <f t="shared" si="34"/>
        <v>0</v>
      </c>
      <c r="BM39" s="158">
        <f t="shared" si="35"/>
        <v>0</v>
      </c>
      <c r="BN39" s="158">
        <f t="shared" si="36"/>
        <v>0</v>
      </c>
      <c r="BO39" s="163"/>
      <c r="BP39" s="163"/>
      <c r="BQ39" s="163"/>
    </row>
    <row r="40" spans="2:69" ht="18" customHeight="1">
      <c r="B40" s="169">
        <v>35</v>
      </c>
      <c r="C40" s="229" t="s">
        <v>45</v>
      </c>
      <c r="D40" s="158">
        <v>9917</v>
      </c>
      <c r="E40" s="158">
        <v>9023</v>
      </c>
      <c r="F40" s="158">
        <f t="shared" si="0"/>
        <v>18940</v>
      </c>
      <c r="G40" s="158">
        <v>4973</v>
      </c>
      <c r="H40" s="158">
        <v>4500</v>
      </c>
      <c r="I40" s="158">
        <f t="shared" si="1"/>
        <v>9473</v>
      </c>
      <c r="J40" s="158">
        <v>5255</v>
      </c>
      <c r="K40" s="158">
        <v>4754</v>
      </c>
      <c r="L40" s="158">
        <f t="shared" si="2"/>
        <v>10009</v>
      </c>
      <c r="M40" s="158">
        <v>5130</v>
      </c>
      <c r="N40" s="158">
        <v>4715</v>
      </c>
      <c r="O40" s="158">
        <f t="shared" si="3"/>
        <v>9845</v>
      </c>
      <c r="P40" s="158">
        <v>5395</v>
      </c>
      <c r="Q40" s="158">
        <v>4797</v>
      </c>
      <c r="R40" s="158">
        <f t="shared" si="4"/>
        <v>10192</v>
      </c>
      <c r="S40" s="158">
        <v>5278</v>
      </c>
      <c r="T40" s="158">
        <v>4733</v>
      </c>
      <c r="U40" s="158">
        <f t="shared" si="37"/>
        <v>10011</v>
      </c>
      <c r="V40" s="158">
        <f t="shared" si="6"/>
        <v>26031</v>
      </c>
      <c r="W40" s="158">
        <f t="shared" si="7"/>
        <v>23499</v>
      </c>
      <c r="X40" s="158">
        <f t="shared" si="8"/>
        <v>49530</v>
      </c>
      <c r="Y40" s="158">
        <v>5243</v>
      </c>
      <c r="Z40" s="158">
        <v>4793</v>
      </c>
      <c r="AA40" s="158">
        <f t="shared" si="9"/>
        <v>10036</v>
      </c>
      <c r="AB40" s="158">
        <v>5750</v>
      </c>
      <c r="AC40" s="158">
        <v>5212</v>
      </c>
      <c r="AD40" s="158">
        <f t="shared" si="33"/>
        <v>10962</v>
      </c>
      <c r="AE40" s="158">
        <v>5493</v>
      </c>
      <c r="AF40" s="158">
        <v>4824</v>
      </c>
      <c r="AG40" s="158">
        <f t="shared" si="10"/>
        <v>10317</v>
      </c>
      <c r="AH40" s="158">
        <f t="shared" si="11"/>
        <v>16486</v>
      </c>
      <c r="AI40" s="158">
        <f t="shared" si="12"/>
        <v>14829</v>
      </c>
      <c r="AJ40" s="158">
        <f t="shared" si="13"/>
        <v>31315</v>
      </c>
      <c r="AK40" s="168">
        <f t="shared" si="14"/>
        <v>42517</v>
      </c>
      <c r="AL40" s="168">
        <f t="shared" si="15"/>
        <v>38328</v>
      </c>
      <c r="AM40" s="168">
        <f t="shared" si="16"/>
        <v>80845</v>
      </c>
      <c r="AN40" s="158">
        <v>6134</v>
      </c>
      <c r="AO40" s="158">
        <v>5035</v>
      </c>
      <c r="AP40" s="158">
        <f t="shared" si="17"/>
        <v>11169</v>
      </c>
      <c r="AQ40" s="158">
        <v>4379</v>
      </c>
      <c r="AR40" s="158">
        <v>4318</v>
      </c>
      <c r="AS40" s="158">
        <f t="shared" si="18"/>
        <v>8697</v>
      </c>
      <c r="AT40" s="158">
        <f t="shared" si="19"/>
        <v>10513</v>
      </c>
      <c r="AU40" s="158">
        <f t="shared" si="20"/>
        <v>9353</v>
      </c>
      <c r="AV40" s="158">
        <f t="shared" si="21"/>
        <v>19866</v>
      </c>
      <c r="AW40" s="168">
        <f t="shared" si="22"/>
        <v>53030</v>
      </c>
      <c r="AX40" s="168">
        <f t="shared" si="23"/>
        <v>47681</v>
      </c>
      <c r="AY40" s="168">
        <f t="shared" si="24"/>
        <v>100711</v>
      </c>
      <c r="AZ40" s="158">
        <v>2745</v>
      </c>
      <c r="BA40" s="158">
        <v>3006</v>
      </c>
      <c r="BB40" s="158">
        <f t="shared" si="25"/>
        <v>5751</v>
      </c>
      <c r="BC40" s="158">
        <v>2099</v>
      </c>
      <c r="BD40" s="158">
        <v>2636</v>
      </c>
      <c r="BE40" s="158">
        <f t="shared" si="26"/>
        <v>4735</v>
      </c>
      <c r="BF40" s="158">
        <f t="shared" si="27"/>
        <v>4844</v>
      </c>
      <c r="BG40" s="158">
        <f t="shared" si="28"/>
        <v>5642</v>
      </c>
      <c r="BH40" s="158">
        <f t="shared" si="29"/>
        <v>10486</v>
      </c>
      <c r="BI40" s="158">
        <f t="shared" si="30"/>
        <v>57874</v>
      </c>
      <c r="BJ40" s="158">
        <f t="shared" si="31"/>
        <v>53323</v>
      </c>
      <c r="BK40" s="158">
        <f t="shared" si="32"/>
        <v>111197</v>
      </c>
      <c r="BL40" s="158">
        <f t="shared" si="34"/>
        <v>67791</v>
      </c>
      <c r="BM40" s="158">
        <f t="shared" si="35"/>
        <v>62346</v>
      </c>
      <c r="BN40" s="158">
        <f t="shared" si="36"/>
        <v>130137</v>
      </c>
      <c r="BO40" s="163"/>
      <c r="BP40" s="163"/>
      <c r="BQ40" s="163"/>
    </row>
    <row r="41" spans="2:69" ht="18" customHeight="1">
      <c r="B41" s="167"/>
      <c r="C41" s="167" t="s">
        <v>46</v>
      </c>
      <c r="D41" s="164">
        <f>SUM(D6:D40)</f>
        <v>165620</v>
      </c>
      <c r="E41" s="164">
        <f>SUM(E6:E40)</f>
        <v>127300</v>
      </c>
      <c r="F41" s="158">
        <f t="shared" si="0"/>
        <v>292920</v>
      </c>
      <c r="G41" s="164">
        <f>SUM(G6:G40)</f>
        <v>1480592</v>
      </c>
      <c r="H41" s="164">
        <f>SUM(H6:H40)</f>
        <v>1373262</v>
      </c>
      <c r="I41" s="165">
        <f t="shared" si="1"/>
        <v>2853854</v>
      </c>
      <c r="J41" s="164">
        <f>SUM(J6:J40)</f>
        <v>1424519</v>
      </c>
      <c r="K41" s="164">
        <f>SUM(K6:K40)</f>
        <v>1338908</v>
      </c>
      <c r="L41" s="165">
        <f t="shared" si="2"/>
        <v>2763427</v>
      </c>
      <c r="M41" s="164">
        <f>SUM(M6:M40)</f>
        <v>1419159</v>
      </c>
      <c r="N41" s="164">
        <f>SUM(N6:N40)</f>
        <v>1328633</v>
      </c>
      <c r="O41" s="165">
        <f t="shared" si="3"/>
        <v>2747792</v>
      </c>
      <c r="P41" s="164">
        <f>SUM(P6:P40)</f>
        <v>1362378</v>
      </c>
      <c r="Q41" s="164">
        <f>SUM(Q6:Q40)</f>
        <v>1273132</v>
      </c>
      <c r="R41" s="165">
        <f t="shared" si="4"/>
        <v>2635510</v>
      </c>
      <c r="S41" s="164">
        <f>SUM(S6:S40)</f>
        <v>1317910</v>
      </c>
      <c r="T41" s="164">
        <f>SUM(T6:T40)</f>
        <v>1218368</v>
      </c>
      <c r="U41" s="164">
        <f>SUM(U6:U40)</f>
        <v>2536278</v>
      </c>
      <c r="V41" s="164">
        <f>SUM(V6:V40)</f>
        <v>7004558</v>
      </c>
      <c r="W41" s="165">
        <f>H41+K41+N41+Q41+T41</f>
        <v>6532303</v>
      </c>
      <c r="X41" s="164">
        <f t="shared" ref="X41:AG41" si="38">SUM(X6:X40)</f>
        <v>13536861</v>
      </c>
      <c r="Y41" s="164">
        <f t="shared" si="38"/>
        <v>1247389</v>
      </c>
      <c r="Z41" s="164">
        <f t="shared" si="38"/>
        <v>1159288</v>
      </c>
      <c r="AA41" s="164">
        <f t="shared" si="38"/>
        <v>2406677</v>
      </c>
      <c r="AB41" s="164">
        <f t="shared" si="38"/>
        <v>1201680</v>
      </c>
      <c r="AC41" s="164">
        <f t="shared" si="38"/>
        <v>1118555</v>
      </c>
      <c r="AD41" s="164">
        <f t="shared" si="38"/>
        <v>1841617</v>
      </c>
      <c r="AE41" s="164">
        <f t="shared" si="38"/>
        <v>1062826</v>
      </c>
      <c r="AF41" s="164">
        <f t="shared" si="38"/>
        <v>973523</v>
      </c>
      <c r="AG41" s="164">
        <f t="shared" si="38"/>
        <v>2036349</v>
      </c>
      <c r="AH41" s="165">
        <f t="shared" si="11"/>
        <v>3511895</v>
      </c>
      <c r="AI41" s="165">
        <f t="shared" si="12"/>
        <v>3251366</v>
      </c>
      <c r="AJ41" s="164">
        <f t="shared" ref="AJ41:BF41" si="39">SUM(AJ6:AJ40)</f>
        <v>6763261</v>
      </c>
      <c r="AK41" s="166">
        <f t="shared" si="39"/>
        <v>10516453</v>
      </c>
      <c r="AL41" s="166">
        <f t="shared" si="39"/>
        <v>9783669</v>
      </c>
      <c r="AM41" s="166">
        <f t="shared" si="39"/>
        <v>20300122</v>
      </c>
      <c r="AN41" s="164">
        <f t="shared" si="39"/>
        <v>1030519</v>
      </c>
      <c r="AO41" s="164">
        <f t="shared" si="39"/>
        <v>924753</v>
      </c>
      <c r="AP41" s="164">
        <f t="shared" si="39"/>
        <v>1955272</v>
      </c>
      <c r="AQ41" s="164">
        <f t="shared" si="39"/>
        <v>950004</v>
      </c>
      <c r="AR41" s="164">
        <f t="shared" si="39"/>
        <v>861075</v>
      </c>
      <c r="AS41" s="164">
        <f t="shared" si="39"/>
        <v>1811079</v>
      </c>
      <c r="AT41" s="164">
        <f t="shared" si="39"/>
        <v>1980523</v>
      </c>
      <c r="AU41" s="164">
        <f t="shared" si="39"/>
        <v>1785828</v>
      </c>
      <c r="AV41" s="164">
        <f t="shared" si="39"/>
        <v>3766351</v>
      </c>
      <c r="AW41" s="164">
        <f t="shared" si="39"/>
        <v>12496976</v>
      </c>
      <c r="AX41" s="164">
        <f t="shared" si="39"/>
        <v>11569497</v>
      </c>
      <c r="AY41" s="164">
        <f t="shared" si="39"/>
        <v>24066473</v>
      </c>
      <c r="AZ41" s="164">
        <f t="shared" si="39"/>
        <v>464520</v>
      </c>
      <c r="BA41" s="164">
        <f t="shared" si="39"/>
        <v>382461</v>
      </c>
      <c r="BB41" s="164">
        <f t="shared" si="39"/>
        <v>846981</v>
      </c>
      <c r="BC41" s="164">
        <f t="shared" si="39"/>
        <v>450817</v>
      </c>
      <c r="BD41" s="165">
        <f t="shared" si="39"/>
        <v>373489</v>
      </c>
      <c r="BE41" s="164">
        <f t="shared" si="39"/>
        <v>824306</v>
      </c>
      <c r="BF41" s="164">
        <f t="shared" si="39"/>
        <v>915337</v>
      </c>
      <c r="BG41" s="158">
        <f>BA41+BD41</f>
        <v>755950</v>
      </c>
      <c r="BH41" s="158">
        <f>BB41+BE41</f>
        <v>1671287</v>
      </c>
      <c r="BI41" s="158">
        <f>AB41+AN41+AW41+BF41</f>
        <v>15644512</v>
      </c>
      <c r="BJ41" s="158">
        <f>AC41+AO41+AX41+BG41</f>
        <v>14368755</v>
      </c>
      <c r="BK41" s="158">
        <f t="shared" si="32"/>
        <v>30013267</v>
      </c>
      <c r="BL41" s="158">
        <f t="shared" si="34"/>
        <v>13577933</v>
      </c>
      <c r="BM41" s="158">
        <f t="shared" si="35"/>
        <v>12452747</v>
      </c>
      <c r="BN41" s="158">
        <f t="shared" si="36"/>
        <v>26030680</v>
      </c>
      <c r="BO41" s="163"/>
      <c r="BP41" s="163"/>
      <c r="BQ41" s="163"/>
    </row>
    <row r="42" spans="2:69" ht="15.75">
      <c r="B42" s="162"/>
      <c r="F42" s="159"/>
      <c r="G42" s="159"/>
      <c r="H42" s="159"/>
      <c r="I42" s="161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61"/>
      <c r="Y42" s="159"/>
      <c r="Z42" s="159"/>
      <c r="AA42" s="154"/>
      <c r="AB42" s="159"/>
      <c r="AC42" s="159"/>
      <c r="AD42" s="160"/>
      <c r="AE42" s="159"/>
      <c r="AF42" s="159"/>
      <c r="AG42" s="154"/>
      <c r="AH42" s="154"/>
      <c r="AI42" s="154"/>
      <c r="AJ42" s="154"/>
      <c r="AK42" s="154"/>
      <c r="AL42" s="154"/>
      <c r="AM42" s="154"/>
      <c r="AN42" s="159"/>
      <c r="AO42" s="159"/>
      <c r="AP42" s="154"/>
      <c r="AQ42" s="156"/>
      <c r="AR42" s="156"/>
      <c r="AS42" s="154"/>
      <c r="AT42" s="154"/>
      <c r="AU42" s="154"/>
      <c r="AV42" s="154"/>
      <c r="AW42" s="154"/>
      <c r="AX42" s="154"/>
      <c r="AY42" s="154"/>
      <c r="AZ42" s="159"/>
      <c r="BA42" s="159"/>
      <c r="BB42" s="154"/>
      <c r="BC42" s="159"/>
      <c r="BD42" s="159"/>
      <c r="BE42" s="154"/>
      <c r="BF42" s="154"/>
      <c r="BG42" s="158">
        <f>BA42+BD42</f>
        <v>0</v>
      </c>
      <c r="BH42" s="154"/>
      <c r="BI42" s="154"/>
      <c r="BJ42" s="154"/>
      <c r="BK42" s="154"/>
      <c r="BL42" s="157"/>
      <c r="BM42" s="157"/>
      <c r="BN42" s="157"/>
    </row>
    <row r="43" spans="2:69" ht="15.75">
      <c r="F43" s="154"/>
      <c r="G43" s="156"/>
      <c r="H43" s="156"/>
      <c r="I43" s="154"/>
      <c r="J43" s="156"/>
      <c r="K43" s="156"/>
      <c r="L43" s="154"/>
      <c r="M43" s="156"/>
      <c r="N43" s="156"/>
      <c r="O43" s="154"/>
      <c r="P43" s="156"/>
      <c r="Q43" s="156"/>
      <c r="R43" s="154"/>
      <c r="S43" s="156"/>
      <c r="T43" s="156"/>
      <c r="U43" s="154"/>
      <c r="V43" s="154"/>
      <c r="W43" s="154"/>
      <c r="X43" s="154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4"/>
      <c r="AN43" s="156"/>
      <c r="AO43" s="156"/>
      <c r="AP43" s="156"/>
      <c r="AQ43" s="156"/>
      <c r="AR43" s="156"/>
      <c r="AS43" s="156"/>
      <c r="AT43" s="156"/>
      <c r="AU43" s="156"/>
      <c r="AV43" s="154"/>
      <c r="AW43" s="156"/>
      <c r="AX43" s="156"/>
      <c r="AY43" s="154"/>
      <c r="AZ43" s="156"/>
      <c r="BA43" s="156"/>
      <c r="BB43" s="156"/>
      <c r="BC43" s="156"/>
      <c r="BD43" s="156"/>
      <c r="BE43" s="156"/>
      <c r="BF43" s="156"/>
      <c r="BG43" s="156"/>
      <c r="BH43" s="154"/>
      <c r="BI43" s="156"/>
      <c r="BJ43" s="154"/>
      <c r="BK43" s="154"/>
      <c r="BL43" s="156"/>
      <c r="BM43" s="154"/>
      <c r="BN43" s="154"/>
    </row>
    <row r="44" spans="2:69" ht="15.75">
      <c r="G44" s="152"/>
      <c r="H44" s="152"/>
      <c r="I44" s="152"/>
      <c r="J44" s="152"/>
      <c r="K44" s="152"/>
      <c r="L44" s="152"/>
      <c r="M44" s="155"/>
      <c r="N44" s="155"/>
      <c r="O44" s="155"/>
      <c r="P44" s="155"/>
      <c r="Q44" s="155"/>
      <c r="R44" s="155"/>
      <c r="S44" s="155"/>
      <c r="T44" s="152"/>
      <c r="U44" s="152"/>
      <c r="V44" s="152"/>
      <c r="W44" s="152"/>
      <c r="X44" s="154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3"/>
      <c r="BF44" s="153"/>
      <c r="BG44" s="153"/>
      <c r="BH44" s="152"/>
      <c r="BI44" s="152"/>
      <c r="BJ44" s="152"/>
      <c r="BK44" s="152"/>
    </row>
    <row r="45" spans="2:69">
      <c r="P45" s="151"/>
      <c r="AE45" s="151"/>
      <c r="AF45" s="151"/>
      <c r="AG45" s="151"/>
      <c r="AK45" s="151"/>
      <c r="AM45" s="151"/>
      <c r="AT45" s="151"/>
      <c r="AU45" s="151"/>
      <c r="AV45" s="151"/>
      <c r="AW45" s="151"/>
      <c r="AX45" s="151"/>
      <c r="AY45" s="151"/>
      <c r="BG45" s="151"/>
    </row>
    <row r="46" spans="2:69">
      <c r="AM46" s="151"/>
      <c r="AV46" s="151"/>
      <c r="AW46" s="151"/>
      <c r="AX46" s="151"/>
      <c r="AY46" s="151"/>
    </row>
    <row r="61" s="150" customFormat="1"/>
  </sheetData>
  <mergeCells count="44">
    <mergeCell ref="G2:L2"/>
    <mergeCell ref="G1:L1"/>
    <mergeCell ref="M2:R2"/>
    <mergeCell ref="M1:R1"/>
    <mergeCell ref="AK2:AP2"/>
    <mergeCell ref="AK1:AP1"/>
    <mergeCell ref="S2:X2"/>
    <mergeCell ref="S1:X1"/>
    <mergeCell ref="Y2:AD2"/>
    <mergeCell ref="Y3:AA3"/>
    <mergeCell ref="AE3:AG3"/>
    <mergeCell ref="AW1:BB1"/>
    <mergeCell ref="BC2:BH2"/>
    <mergeCell ref="BC1:BH1"/>
    <mergeCell ref="AQ2:AV2"/>
    <mergeCell ref="AQ1:AV1"/>
    <mergeCell ref="BI3:BK3"/>
    <mergeCell ref="BF3:BH3"/>
    <mergeCell ref="AW3:AY3"/>
    <mergeCell ref="AN3:AP3"/>
    <mergeCell ref="AH3:AJ3"/>
    <mergeCell ref="AK3:AM3"/>
    <mergeCell ref="BI2:BK2"/>
    <mergeCell ref="BI1:BK1"/>
    <mergeCell ref="AW2:BB2"/>
    <mergeCell ref="Y1:AD1"/>
    <mergeCell ref="AE2:AJ2"/>
    <mergeCell ref="AE1:AJ1"/>
    <mergeCell ref="B3:B4"/>
    <mergeCell ref="C3:C4"/>
    <mergeCell ref="AB3:AD3"/>
    <mergeCell ref="BO3:BQ3"/>
    <mergeCell ref="D3:F3"/>
    <mergeCell ref="G3:I3"/>
    <mergeCell ref="J3:L3"/>
    <mergeCell ref="M3:O3"/>
    <mergeCell ref="P3:R3"/>
    <mergeCell ref="S3:U3"/>
    <mergeCell ref="V3:X3"/>
    <mergeCell ref="BL3:BN3"/>
    <mergeCell ref="AQ3:AS3"/>
    <mergeCell ref="AT3:AV3"/>
    <mergeCell ref="AZ3:BB3"/>
    <mergeCell ref="BC3:BE3"/>
  </mergeCells>
  <pageMargins left="1.1000000000000001" right="0.25" top="1" bottom="1" header="0.5" footer="0.5"/>
  <pageSetup scale="81" firstPageNumber="37" orientation="portrait" useFirstPageNumber="1" r:id="rId1"/>
  <headerFooter alignWithMargins="0">
    <oddFooter>&amp;LStatistics of School Education 2008-09&amp;RD&amp;P</oddFooter>
  </headerFooter>
  <colBreaks count="9" manualBreakCount="9">
    <brk id="12" max="40" man="1"/>
    <brk id="18" max="40" man="1"/>
    <brk id="24" max="40" man="1"/>
    <brk id="30" max="40" man="1"/>
    <brk id="36" max="40" man="1"/>
    <brk id="42" max="40" man="1"/>
    <brk id="48" max="40" man="1"/>
    <brk id="54" max="40" man="1"/>
    <brk id="60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1:BN61"/>
  <sheetViews>
    <sheetView workbookViewId="0">
      <pane xSplit="3" ySplit="4" topLeftCell="D32" activePane="bottomRight" state="frozen"/>
      <selection activeCell="B49" sqref="B49"/>
      <selection pane="topRight" activeCell="B49" sqref="B49"/>
      <selection pane="bottomLeft" activeCell="B49" sqref="B49"/>
      <selection pane="bottomRight" activeCell="D36" sqref="D36"/>
    </sheetView>
  </sheetViews>
  <sheetFormatPr defaultRowHeight="12.75"/>
  <cols>
    <col min="1" max="1" width="2.28515625" style="149" customWidth="1"/>
    <col min="2" max="2" width="9.140625" style="149"/>
    <col min="3" max="3" width="20.42578125" style="149" customWidth="1"/>
    <col min="4" max="4" width="10.7109375" style="149" customWidth="1"/>
    <col min="5" max="5" width="9.5703125" style="149" customWidth="1"/>
    <col min="6" max="6" width="9.7109375" style="149" customWidth="1"/>
    <col min="7" max="7" width="10.7109375" style="149" customWidth="1"/>
    <col min="8" max="8" width="10.5703125" style="149" customWidth="1"/>
    <col min="9" max="9" width="9.85546875" style="149" customWidth="1"/>
    <col min="10" max="10" width="10.42578125" style="149" customWidth="1"/>
    <col min="11" max="11" width="10.85546875" style="149" customWidth="1"/>
    <col min="12" max="12" width="9.28515625" style="149" customWidth="1"/>
    <col min="13" max="24" width="14.7109375" style="149" customWidth="1"/>
    <col min="25" max="25" width="11" style="149" customWidth="1"/>
    <col min="26" max="26" width="9" style="149" customWidth="1"/>
    <col min="27" max="27" width="9.28515625" style="149" customWidth="1"/>
    <col min="28" max="28" width="9.7109375" style="149" customWidth="1"/>
    <col min="29" max="29" width="9.42578125" style="149" customWidth="1"/>
    <col min="30" max="30" width="10.140625" style="149" customWidth="1"/>
    <col min="31" max="31" width="9.7109375" style="149" customWidth="1"/>
    <col min="32" max="32" width="9" style="149" customWidth="1"/>
    <col min="33" max="33" width="10.42578125" style="149" customWidth="1"/>
    <col min="34" max="45" width="14.7109375" style="149" customWidth="1"/>
    <col min="46" max="46" width="11.28515625" style="149" customWidth="1"/>
    <col min="47" max="47" width="8.7109375" style="149" customWidth="1"/>
    <col min="48" max="49" width="9.85546875" style="149" customWidth="1"/>
    <col min="50" max="50" width="10.140625" style="149" customWidth="1"/>
    <col min="51" max="51" width="9.42578125" style="149" customWidth="1"/>
    <col min="52" max="52" width="9.5703125" style="149" customWidth="1"/>
    <col min="53" max="53" width="10.42578125" style="149" customWidth="1"/>
    <col min="54" max="54" width="9.7109375" style="149" customWidth="1"/>
    <col min="55" max="66" width="14.7109375" style="149" customWidth="1"/>
    <col min="67" max="16384" width="9.140625" style="149"/>
  </cols>
  <sheetData>
    <row r="1" spans="2:66" ht="44.25" customHeight="1">
      <c r="B1" s="186"/>
      <c r="C1" s="197"/>
      <c r="D1" s="292" t="s">
        <v>180</v>
      </c>
      <c r="E1" s="292"/>
      <c r="F1" s="292"/>
      <c r="G1" s="292"/>
      <c r="H1" s="292"/>
      <c r="I1" s="292"/>
      <c r="J1" s="292"/>
      <c r="K1" s="292"/>
      <c r="L1" s="292"/>
      <c r="M1" s="292" t="s">
        <v>180</v>
      </c>
      <c r="N1" s="292"/>
      <c r="O1" s="292"/>
      <c r="P1" s="292"/>
      <c r="Q1" s="292"/>
      <c r="R1" s="292"/>
      <c r="S1" s="292" t="s">
        <v>180</v>
      </c>
      <c r="T1" s="292"/>
      <c r="U1" s="292"/>
      <c r="V1" s="292"/>
      <c r="W1" s="292"/>
      <c r="X1" s="292"/>
      <c r="Y1" s="292" t="s">
        <v>179</v>
      </c>
      <c r="Z1" s="292"/>
      <c r="AA1" s="292"/>
      <c r="AB1" s="292"/>
      <c r="AC1" s="292"/>
      <c r="AD1" s="292"/>
      <c r="AE1" s="292"/>
      <c r="AF1" s="292"/>
      <c r="AG1" s="292"/>
      <c r="AH1" s="292" t="s">
        <v>179</v>
      </c>
      <c r="AI1" s="292"/>
      <c r="AJ1" s="292"/>
      <c r="AK1" s="292"/>
      <c r="AL1" s="292"/>
      <c r="AM1" s="292"/>
      <c r="AN1" s="292" t="s">
        <v>179</v>
      </c>
      <c r="AO1" s="292"/>
      <c r="AP1" s="292"/>
      <c r="AQ1" s="292"/>
      <c r="AR1" s="292"/>
      <c r="AS1" s="292"/>
      <c r="AT1" s="292" t="s">
        <v>178</v>
      </c>
      <c r="AU1" s="292"/>
      <c r="AV1" s="292"/>
      <c r="AW1" s="292"/>
      <c r="AX1" s="292"/>
      <c r="AY1" s="292"/>
      <c r="AZ1" s="292"/>
      <c r="BA1" s="292"/>
      <c r="BB1" s="187"/>
      <c r="BC1" s="292" t="s">
        <v>178</v>
      </c>
      <c r="BD1" s="292"/>
      <c r="BE1" s="292"/>
      <c r="BF1" s="292"/>
      <c r="BG1" s="292"/>
      <c r="BH1" s="292"/>
      <c r="BI1" s="292" t="s">
        <v>178</v>
      </c>
      <c r="BJ1" s="292"/>
      <c r="BK1" s="292"/>
      <c r="BL1" s="292"/>
      <c r="BM1" s="292"/>
      <c r="BN1" s="292"/>
    </row>
    <row r="2" spans="2:66" ht="30" customHeight="1">
      <c r="B2" s="186"/>
      <c r="C2" s="197"/>
      <c r="D2" s="291" t="s">
        <v>177</v>
      </c>
      <c r="E2" s="291"/>
      <c r="F2" s="291"/>
      <c r="G2" s="291"/>
      <c r="H2" s="291"/>
      <c r="I2" s="291"/>
      <c r="J2" s="291"/>
      <c r="K2" s="291"/>
      <c r="L2" s="291"/>
      <c r="M2" s="291" t="s">
        <v>177</v>
      </c>
      <c r="N2" s="291"/>
      <c r="O2" s="291"/>
      <c r="P2" s="291"/>
      <c r="Q2" s="291"/>
      <c r="R2" s="291"/>
      <c r="S2" s="291" t="s">
        <v>177</v>
      </c>
      <c r="T2" s="291"/>
      <c r="U2" s="291"/>
      <c r="V2" s="291"/>
      <c r="W2" s="291"/>
      <c r="X2" s="291"/>
      <c r="Y2" s="291" t="s">
        <v>176</v>
      </c>
      <c r="Z2" s="291"/>
      <c r="AA2" s="291"/>
      <c r="AB2" s="291"/>
      <c r="AC2" s="291"/>
      <c r="AD2" s="291"/>
      <c r="AE2" s="291"/>
      <c r="AF2" s="291"/>
      <c r="AG2" s="291"/>
      <c r="AH2" s="291" t="s">
        <v>176</v>
      </c>
      <c r="AI2" s="291"/>
      <c r="AJ2" s="291"/>
      <c r="AK2" s="291"/>
      <c r="AL2" s="291"/>
      <c r="AM2" s="291"/>
      <c r="AN2" s="291" t="s">
        <v>176</v>
      </c>
      <c r="AO2" s="291"/>
      <c r="AP2" s="291"/>
      <c r="AQ2" s="291"/>
      <c r="AR2" s="291"/>
      <c r="AS2" s="291"/>
      <c r="AT2" s="291" t="s">
        <v>175</v>
      </c>
      <c r="AU2" s="291"/>
      <c r="AV2" s="291"/>
      <c r="AW2" s="291"/>
      <c r="AX2" s="291"/>
      <c r="AY2" s="291"/>
      <c r="AZ2" s="291"/>
      <c r="BA2" s="291"/>
      <c r="BB2" s="291"/>
      <c r="BC2" s="291" t="s">
        <v>175</v>
      </c>
      <c r="BD2" s="291"/>
      <c r="BE2" s="291"/>
      <c r="BF2" s="291"/>
      <c r="BG2" s="291"/>
      <c r="BH2" s="291"/>
      <c r="BI2" s="291" t="s">
        <v>175</v>
      </c>
      <c r="BJ2" s="291"/>
      <c r="BK2" s="291"/>
      <c r="BL2" s="291"/>
      <c r="BM2" s="291"/>
      <c r="BN2" s="291"/>
    </row>
    <row r="3" spans="2:66" ht="48.75" customHeight="1">
      <c r="B3" s="287" t="s">
        <v>162</v>
      </c>
      <c r="C3" s="288" t="s">
        <v>161</v>
      </c>
      <c r="D3" s="287" t="s">
        <v>97</v>
      </c>
      <c r="E3" s="287"/>
      <c r="F3" s="287"/>
      <c r="G3" s="287" t="s">
        <v>174</v>
      </c>
      <c r="H3" s="287"/>
      <c r="I3" s="287"/>
      <c r="J3" s="287" t="s">
        <v>173</v>
      </c>
      <c r="K3" s="287"/>
      <c r="L3" s="287"/>
      <c r="M3" s="287" t="s">
        <v>172</v>
      </c>
      <c r="N3" s="287"/>
      <c r="O3" s="287"/>
      <c r="P3" s="287" t="s">
        <v>171</v>
      </c>
      <c r="Q3" s="287"/>
      <c r="R3" s="287"/>
      <c r="S3" s="287" t="s">
        <v>170</v>
      </c>
      <c r="T3" s="287"/>
      <c r="U3" s="287"/>
      <c r="V3" s="287" t="s">
        <v>169</v>
      </c>
      <c r="W3" s="287"/>
      <c r="X3" s="287"/>
      <c r="Y3" s="287" t="s">
        <v>97</v>
      </c>
      <c r="Z3" s="287"/>
      <c r="AA3" s="287"/>
      <c r="AB3" s="287" t="s">
        <v>174</v>
      </c>
      <c r="AC3" s="287"/>
      <c r="AD3" s="287"/>
      <c r="AE3" s="287" t="s">
        <v>173</v>
      </c>
      <c r="AF3" s="287"/>
      <c r="AG3" s="287"/>
      <c r="AH3" s="287" t="s">
        <v>172</v>
      </c>
      <c r="AI3" s="287"/>
      <c r="AJ3" s="287"/>
      <c r="AK3" s="287" t="s">
        <v>171</v>
      </c>
      <c r="AL3" s="287"/>
      <c r="AM3" s="287"/>
      <c r="AN3" s="287" t="s">
        <v>170</v>
      </c>
      <c r="AO3" s="287"/>
      <c r="AP3" s="287"/>
      <c r="AQ3" s="287" t="s">
        <v>169</v>
      </c>
      <c r="AR3" s="287"/>
      <c r="AS3" s="287"/>
      <c r="AT3" s="287" t="s">
        <v>97</v>
      </c>
      <c r="AU3" s="287"/>
      <c r="AV3" s="287"/>
      <c r="AW3" s="287" t="s">
        <v>174</v>
      </c>
      <c r="AX3" s="287"/>
      <c r="AY3" s="287"/>
      <c r="AZ3" s="287" t="s">
        <v>173</v>
      </c>
      <c r="BA3" s="287"/>
      <c r="BB3" s="287"/>
      <c r="BC3" s="287" t="s">
        <v>172</v>
      </c>
      <c r="BD3" s="287"/>
      <c r="BE3" s="287"/>
      <c r="BF3" s="287" t="s">
        <v>171</v>
      </c>
      <c r="BG3" s="287"/>
      <c r="BH3" s="287"/>
      <c r="BI3" s="287" t="s">
        <v>170</v>
      </c>
      <c r="BJ3" s="287"/>
      <c r="BK3" s="287"/>
      <c r="BL3" s="287" t="s">
        <v>169</v>
      </c>
      <c r="BM3" s="287"/>
      <c r="BN3" s="287"/>
    </row>
    <row r="4" spans="2:66" ht="18.75" customHeight="1">
      <c r="B4" s="287"/>
      <c r="C4" s="288"/>
      <c r="D4" s="182" t="s">
        <v>13</v>
      </c>
      <c r="E4" s="182" t="s">
        <v>14</v>
      </c>
      <c r="F4" s="182" t="s">
        <v>15</v>
      </c>
      <c r="G4" s="182" t="s">
        <v>13</v>
      </c>
      <c r="H4" s="182" t="s">
        <v>14</v>
      </c>
      <c r="I4" s="182" t="s">
        <v>15</v>
      </c>
      <c r="J4" s="182" t="s">
        <v>13</v>
      </c>
      <c r="K4" s="182" t="s">
        <v>14</v>
      </c>
      <c r="L4" s="182" t="s">
        <v>15</v>
      </c>
      <c r="M4" s="182" t="s">
        <v>13</v>
      </c>
      <c r="N4" s="182" t="s">
        <v>14</v>
      </c>
      <c r="O4" s="182" t="s">
        <v>15</v>
      </c>
      <c r="P4" s="182" t="s">
        <v>13</v>
      </c>
      <c r="Q4" s="182" t="s">
        <v>14</v>
      </c>
      <c r="R4" s="182" t="s">
        <v>15</v>
      </c>
      <c r="S4" s="182" t="s">
        <v>13</v>
      </c>
      <c r="T4" s="182" t="s">
        <v>14</v>
      </c>
      <c r="U4" s="182" t="s">
        <v>15</v>
      </c>
      <c r="V4" s="182" t="s">
        <v>13</v>
      </c>
      <c r="W4" s="182" t="s">
        <v>14</v>
      </c>
      <c r="X4" s="182" t="s">
        <v>15</v>
      </c>
      <c r="Y4" s="182" t="s">
        <v>13</v>
      </c>
      <c r="Z4" s="182" t="s">
        <v>14</v>
      </c>
      <c r="AA4" s="182" t="s">
        <v>15</v>
      </c>
      <c r="AB4" s="182" t="s">
        <v>13</v>
      </c>
      <c r="AC4" s="182" t="s">
        <v>14</v>
      </c>
      <c r="AD4" s="182" t="s">
        <v>15</v>
      </c>
      <c r="AE4" s="182" t="s">
        <v>13</v>
      </c>
      <c r="AF4" s="182" t="s">
        <v>14</v>
      </c>
      <c r="AG4" s="182" t="s">
        <v>15</v>
      </c>
      <c r="AH4" s="182" t="s">
        <v>13</v>
      </c>
      <c r="AI4" s="182" t="s">
        <v>14</v>
      </c>
      <c r="AJ4" s="182" t="s">
        <v>15</v>
      </c>
      <c r="AK4" s="182" t="s">
        <v>13</v>
      </c>
      <c r="AL4" s="182" t="s">
        <v>14</v>
      </c>
      <c r="AM4" s="182" t="s">
        <v>15</v>
      </c>
      <c r="AN4" s="182" t="s">
        <v>13</v>
      </c>
      <c r="AO4" s="182" t="s">
        <v>14</v>
      </c>
      <c r="AP4" s="182" t="s">
        <v>15</v>
      </c>
      <c r="AQ4" s="182" t="s">
        <v>13</v>
      </c>
      <c r="AR4" s="182" t="s">
        <v>14</v>
      </c>
      <c r="AS4" s="182" t="s">
        <v>15</v>
      </c>
      <c r="AT4" s="182" t="s">
        <v>13</v>
      </c>
      <c r="AU4" s="182" t="s">
        <v>14</v>
      </c>
      <c r="AV4" s="182" t="s">
        <v>15</v>
      </c>
      <c r="AW4" s="182" t="s">
        <v>13</v>
      </c>
      <c r="AX4" s="182" t="s">
        <v>14</v>
      </c>
      <c r="AY4" s="182" t="s">
        <v>15</v>
      </c>
      <c r="AZ4" s="182" t="s">
        <v>13</v>
      </c>
      <c r="BA4" s="182" t="s">
        <v>14</v>
      </c>
      <c r="BB4" s="182" t="s">
        <v>15</v>
      </c>
      <c r="BC4" s="182" t="s">
        <v>13</v>
      </c>
      <c r="BD4" s="182" t="s">
        <v>14</v>
      </c>
      <c r="BE4" s="182" t="s">
        <v>15</v>
      </c>
      <c r="BF4" s="182" t="s">
        <v>13</v>
      </c>
      <c r="BG4" s="182" t="s">
        <v>14</v>
      </c>
      <c r="BH4" s="182" t="s">
        <v>15</v>
      </c>
      <c r="BI4" s="182" t="s">
        <v>13</v>
      </c>
      <c r="BJ4" s="182" t="s">
        <v>14</v>
      </c>
      <c r="BK4" s="182" t="s">
        <v>15</v>
      </c>
      <c r="BL4" s="182" t="s">
        <v>13</v>
      </c>
      <c r="BM4" s="182" t="s">
        <v>14</v>
      </c>
      <c r="BN4" s="182" t="s">
        <v>15</v>
      </c>
    </row>
    <row r="5" spans="2:66" ht="15">
      <c r="B5" s="182"/>
      <c r="C5" s="182"/>
      <c r="D5" s="196"/>
      <c r="E5" s="196"/>
      <c r="F5" s="196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</row>
    <row r="6" spans="2:66" ht="21.95" customHeight="1">
      <c r="B6" s="169">
        <v>1</v>
      </c>
      <c r="C6" s="173" t="s">
        <v>16</v>
      </c>
      <c r="D6" s="192">
        <f>'[1]Cl Enr. sc'!U6/'[1]Cl Enr'!X7*100</f>
        <v>18.96128984937382</v>
      </c>
      <c r="E6" s="192">
        <f>'[1]Cl Enr. sc'!V6/'[1]Cl Enr'!Y7*100</f>
        <v>19.207524887508093</v>
      </c>
      <c r="F6" s="192">
        <f>'[1]Cl Enr. sc'!W6/'[1]Cl Enr'!Z7*100</f>
        <v>19.082408157380719</v>
      </c>
      <c r="G6" s="192">
        <f>'[1]Cl Enr. sc'!AG6/'[1]Cl Enr'!AJ7*100</f>
        <v>18.277409413015878</v>
      </c>
      <c r="H6" s="192">
        <f>'[1]Cl Enr. sc'!AH6/'[1]Cl Enr'!AK7*100</f>
        <v>18.402361099300986</v>
      </c>
      <c r="I6" s="192">
        <f>'[1]Cl Enr. sc'!AI6/'[1]Cl Enr'!AL7*100</f>
        <v>18.338725138949414</v>
      </c>
      <c r="J6" s="192">
        <f>('[1]Cl Enr. sc'!U6+'[1]Cl Enr. sc'!AG6)/('[1]Cl Enr'!X7+'[1]Cl Enr'!AJ7)*100</f>
        <v>18.730855456019061</v>
      </c>
      <c r="K6" s="192">
        <f>('[1]Cl Enr. sc'!V6+'[1]Cl Enr. sc'!AH6)/('[1]Cl Enr'!Y7+'[1]Cl Enr'!AK7)*100</f>
        <v>18.937062090464732</v>
      </c>
      <c r="L6" s="192">
        <f>('[1]Cl Enr. sc'!W6+'[1]Cl Enr. sc'!AI6)/('[1]Cl Enr'!Z7+'[1]Cl Enr'!AL7)*100</f>
        <v>18.832203705931562</v>
      </c>
      <c r="M6" s="192">
        <f>'[1]Cl Enr. sc'!AS6/'[1]Cl Enr'!AV7*100</f>
        <v>18.643029695810856</v>
      </c>
      <c r="N6" s="192">
        <f>'[1]Cl Enr. sc'!AT6/'[1]Cl Enr'!AW7*100</f>
        <v>18.6638175939052</v>
      </c>
      <c r="O6" s="192">
        <f>'[1]Cl Enr. sc'!AU6/'[1]Cl Enr'!AX7*100</f>
        <v>18.653173068066685</v>
      </c>
      <c r="P6" s="192">
        <f>'[1]Cl Enr. sc'!AV6/'[1]Cl Enr'!AY7*100</f>
        <v>18.716018116378034</v>
      </c>
      <c r="Q6" s="192">
        <f>'[1]Cl Enr. sc'!AW6/'[1]Cl Enr'!AZ7*100</f>
        <v>18.891441325457304</v>
      </c>
      <c r="R6" s="192">
        <f>'[1]Cl Enr. sc'!AX6/'[1]Cl Enr'!BA7*100</f>
        <v>18.802132268271851</v>
      </c>
      <c r="S6" s="192">
        <f>'[1]Cl Enr. sc'!BE6/'[1]Cl Enr'!BH7*100</f>
        <v>20.001278641885602</v>
      </c>
      <c r="T6" s="192">
        <f>'[1]Cl Enr. sc'!BF6/'[1]Cl Enr'!BI7*100</f>
        <v>19.490424646128226</v>
      </c>
      <c r="U6" s="192">
        <f>'[1]Cl Enr. sc'!BG6/'[1]Cl Enr'!BJ7*100</f>
        <v>19.772333916588021</v>
      </c>
      <c r="V6" s="192">
        <f>'[1]Cl Enr. sc'!BH6/'[1]Cl Enr'!BK7*100</f>
        <v>18.857385266506473</v>
      </c>
      <c r="W6" s="192">
        <f>'[1]Cl Enr. sc'!BI6/'[1]Cl Enr'!BL7*100</f>
        <v>18.947911070717197</v>
      </c>
      <c r="X6" s="192">
        <f>'[1]Cl Enr. sc'!BJ6/'[1]Cl Enr'!BM7*100</f>
        <v>18.901427899170962</v>
      </c>
      <c r="Y6" s="192">
        <f>'[1]Cl Enr. st'!U6/'[1]Cl Enr'!X7*100</f>
        <v>10.726538454538886</v>
      </c>
      <c r="Z6" s="192">
        <f>'[1]Cl Enr. st'!V6/'[1]Cl Enr'!Y7*100</f>
        <v>10.407050223929893</v>
      </c>
      <c r="AA6" s="192">
        <f>'[1]Cl Enr. st'!W6/'[1]Cl Enr'!Z7*100</f>
        <v>10.569388301527848</v>
      </c>
      <c r="AB6" s="192">
        <f>'[1]Cl Enr. st'!AG6/'[1]Cl Enr'!AJ7*100</f>
        <v>8.1271093555003304</v>
      </c>
      <c r="AC6" s="192">
        <f>'[1]Cl Enr. st'!AH6/'[1]Cl Enr'!AK7*100</f>
        <v>7.1009239304577196</v>
      </c>
      <c r="AD6" s="192">
        <f>'[1]Cl Enr. st'!AI6/'[1]Cl Enr'!AL7*100</f>
        <v>7.6235442884764764</v>
      </c>
      <c r="AE6" s="192">
        <f>('[1]Cl Enr. st'!U6+'[1]Cl Enr. st'!AG6)/('[1]Cl Enr'!X7+'[1]Cl Enr'!AJ7)*100</f>
        <v>9.8506574735070789</v>
      </c>
      <c r="AF6" s="192">
        <f>('[1]Cl Enr. st'!V6+'[1]Cl Enr. st'!AH6)/('[1]Cl Enr'!Y7+'[1]Cl Enr'!AK7)*100</f>
        <v>9.2964884005992641</v>
      </c>
      <c r="AG6" s="192">
        <f>('[1]Cl Enr. st'!W6+'[1]Cl Enr. st'!AI6)/('[1]Cl Enr'!Z7+'[1]Cl Enr'!AL7)*100</f>
        <v>9.5782895846376377</v>
      </c>
      <c r="AH6" s="192">
        <f>'[1]Cl Enr. st'!AS6/'[1]Cl Enr'!AV7*100</f>
        <v>7.3332050214322848</v>
      </c>
      <c r="AI6" s="192">
        <f>'[1]Cl Enr. st'!AT6/'[1]Cl Enr'!AW7*100</f>
        <v>6.5236719061165083</v>
      </c>
      <c r="AJ6" s="192">
        <f>'[1]Cl Enr. st'!AU6/'[1]Cl Enr'!AX7*100</f>
        <v>6.9381965552178322</v>
      </c>
      <c r="AK6" s="192">
        <f>'[1]Cl Enr. st'!AV6/'[1]Cl Enr'!AY7*100</f>
        <v>9.4253574593311384</v>
      </c>
      <c r="AL6" s="192">
        <f>'[1]Cl Enr. st'!AW6/'[1]Cl Enr'!AZ7*100</f>
        <v>8.8335403401761674</v>
      </c>
      <c r="AM6" s="192">
        <f>'[1]Cl Enr. st'!AX6/'[1]Cl Enr'!BA7*100</f>
        <v>9.1348381514256403</v>
      </c>
      <c r="AN6" s="192">
        <f>'[1]Cl Enr. st'!BE6/'[1]Cl Enr'!BH7*100</f>
        <v>7.7489386657617816</v>
      </c>
      <c r="AO6" s="192">
        <f>'[1]Cl Enr. st'!BF6/'[1]Cl Enr'!BI7*100</f>
        <v>5.5755052607675424</v>
      </c>
      <c r="AP6" s="192">
        <f>'[1]Cl Enr. st'!BG6/'[1]Cl Enr'!BJ7*100</f>
        <v>6.7748910553065214</v>
      </c>
      <c r="AQ6" s="192">
        <f>'[1]Cl Enr. st'!BH6/'[1]Cl Enr'!BK7*100</f>
        <v>9.2409664019810638</v>
      </c>
      <c r="AR6" s="192">
        <f>'[1]Cl Enr. st'!BI6/'[1]Cl Enr'!BL7*100</f>
        <v>8.526385859186739</v>
      </c>
      <c r="AS6" s="192">
        <f>'[1]Cl Enr. st'!BJ6/'[1]Cl Enr'!BM7*100</f>
        <v>8.8933085310581976</v>
      </c>
      <c r="AT6" s="192">
        <f>'Rural enrl'!V6/'[1]Cl Enr'!X7*100</f>
        <v>68.948137012304116</v>
      </c>
      <c r="AU6" s="192">
        <f>'Rural enrl'!W6/'[1]Cl Enr'!Y7*100</f>
        <v>69.092547719156627</v>
      </c>
      <c r="AV6" s="192">
        <f>'Rural enrl'!X6/'[1]Cl Enr'!Z7*100</f>
        <v>69.019169878319374</v>
      </c>
      <c r="AW6" s="192">
        <f>'Rural enrl'!AH6/'[1]Cl Enr'!AJ7*100</f>
        <v>65.963927986196268</v>
      </c>
      <c r="AX6" s="192">
        <f>'Rural enrl'!AI6/'[1]Cl Enr'!AK7*100</f>
        <v>68.099086431168672</v>
      </c>
      <c r="AY6" s="192">
        <f>'Rural enrl'!AJ6/'[1]Cl Enr'!AL7*100</f>
        <v>67.011683274091169</v>
      </c>
      <c r="AZ6" s="192">
        <f>('Rural enrl'!V6+'Rural enrl'!AH6)/('[1]Cl Enr'!X7+'[1]Cl Enr'!AJ7)*100</f>
        <v>67.942603939538984</v>
      </c>
      <c r="BA6" s="192">
        <f>('Rural enrl'!W6+'Rural enrl'!AI6)/('[1]Cl Enr'!Y7+'[1]Cl Enr'!AK7)*100</f>
        <v>68.758833855419866</v>
      </c>
      <c r="BB6" s="192">
        <f>('Rural enrl'!X6+'Rural enrl'!AJ6)/('[1]Cl Enr'!Z7+'[1]Cl Enr'!AL7)*100</f>
        <v>68.34377179586491</v>
      </c>
      <c r="BC6" s="191">
        <f>'Rural enrl'!AT6/'[1]Cl Enr'!AV7*100</f>
        <v>63.182339006038454</v>
      </c>
      <c r="BD6" s="191">
        <f>'Rural enrl'!AU6/'[1]Cl Enr'!AW7*100</f>
        <v>63.446673323731552</v>
      </c>
      <c r="BE6" s="191">
        <f>'Rural enrl'!AV6/'[1]Cl Enr'!AX7*100</f>
        <v>63.311319885787974</v>
      </c>
      <c r="BF6" s="191">
        <f>'Rural enrl'!AW6/'[1]Cl Enr'!AY7*100</f>
        <v>67.138401762043856</v>
      </c>
      <c r="BG6" s="191">
        <f>'Rural enrl'!AX6/'[1]Cl Enr'!AZ7*100</f>
        <v>67.87191817971808</v>
      </c>
      <c r="BH6" s="191">
        <f>'Rural enrl'!AY6/'[1]Cl Enr'!BA7*100</f>
        <v>67.498480365894167</v>
      </c>
      <c r="BI6" s="191">
        <f>'Rural enrl'!BF6/'[1]Cl Enr'!BH7*100</f>
        <v>0.61288748074353028</v>
      </c>
      <c r="BJ6" s="191">
        <f>'Rural enrl'!BG6/'[1]Cl Enr'!BI7*100</f>
        <v>1.3859662402543336</v>
      </c>
      <c r="BK6" s="191">
        <f>'Rural enrl'!BH6/'[1]Cl Enr'!BJ7*100</f>
        <v>0.95935106074781884</v>
      </c>
      <c r="BL6" s="191">
        <f>'Rural enrl'!BI6/'[1]Cl Enr'!BK7*100</f>
        <v>59.821190832328242</v>
      </c>
      <c r="BM6" s="191">
        <f>'Rural enrl'!BJ6/'[1]Cl Enr'!BL7*100</f>
        <v>61.603889271704958</v>
      </c>
      <c r="BN6" s="191">
        <f>'Rural enrl'!BK6/'[1]Cl Enr'!BM7*100</f>
        <v>60.688509639397424</v>
      </c>
    </row>
    <row r="7" spans="2:66" ht="21.95" customHeight="1">
      <c r="B7" s="169">
        <v>2</v>
      </c>
      <c r="C7" s="173" t="s">
        <v>17</v>
      </c>
      <c r="D7" s="193" t="s">
        <v>168</v>
      </c>
      <c r="E7" s="193" t="s">
        <v>168</v>
      </c>
      <c r="F7" s="193" t="s">
        <v>168</v>
      </c>
      <c r="G7" s="193" t="s">
        <v>168</v>
      </c>
      <c r="H7" s="193" t="s">
        <v>168</v>
      </c>
      <c r="I7" s="193" t="s">
        <v>168</v>
      </c>
      <c r="J7" s="193" t="s">
        <v>168</v>
      </c>
      <c r="K7" s="193" t="s">
        <v>168</v>
      </c>
      <c r="L7" s="193" t="s">
        <v>168</v>
      </c>
      <c r="M7" s="193" t="s">
        <v>168</v>
      </c>
      <c r="N7" s="193" t="s">
        <v>168</v>
      </c>
      <c r="O7" s="193" t="s">
        <v>168</v>
      </c>
      <c r="P7" s="193" t="s">
        <v>168</v>
      </c>
      <c r="Q7" s="193" t="s">
        <v>168</v>
      </c>
      <c r="R7" s="193" t="s">
        <v>168</v>
      </c>
      <c r="S7" s="193" t="s">
        <v>168</v>
      </c>
      <c r="T7" s="193" t="s">
        <v>168</v>
      </c>
      <c r="U7" s="193" t="s">
        <v>168</v>
      </c>
      <c r="V7" s="193" t="s">
        <v>168</v>
      </c>
      <c r="W7" s="193" t="s">
        <v>168</v>
      </c>
      <c r="X7" s="193" t="s">
        <v>168</v>
      </c>
      <c r="Y7" s="192">
        <f>'[1]Cl Enr. st'!U7/'[1]Cl Enr'!X8*100</f>
        <v>76.713522356476659</v>
      </c>
      <c r="Z7" s="192">
        <f>'[1]Cl Enr. st'!V7/'[1]Cl Enr'!Y8*100</f>
        <v>78.521059287931621</v>
      </c>
      <c r="AA7" s="192">
        <f>'[1]Cl Enr. st'!W7/'[1]Cl Enr'!Z8*100</f>
        <v>77.583527404367175</v>
      </c>
      <c r="AB7" s="192">
        <f>'[1]Cl Enr. st'!AG7/'[1]Cl Enr'!AJ8*100</f>
        <v>71.884436070246636</v>
      </c>
      <c r="AC7" s="192">
        <f>'[1]Cl Enr. st'!AH7/'[1]Cl Enr'!AK8*100</f>
        <v>74.15482342807924</v>
      </c>
      <c r="AD7" s="192">
        <f>'[1]Cl Enr. st'!AI7/'[1]Cl Enr'!AL8*100</f>
        <v>72.958280818342686</v>
      </c>
      <c r="AE7" s="192">
        <f>('[1]Cl Enr. st'!U7+'[1]Cl Enr. st'!AG7)/('[1]Cl Enr'!X8+'[1]Cl Enr'!AJ8)*100</f>
        <v>75.414310781828817</v>
      </c>
      <c r="AF7" s="192">
        <f>('[1]Cl Enr. st'!V7+'[1]Cl Enr. st'!AH7)/('[1]Cl Enr'!Y8+'[1]Cl Enr'!AK8)*100</f>
        <v>77.374862214182755</v>
      </c>
      <c r="AG7" s="192">
        <f>('[1]Cl Enr. st'!W7+'[1]Cl Enr. st'!AI7)/('[1]Cl Enr'!Z8+'[1]Cl Enr'!AL8)*100</f>
        <v>76.353615848663139</v>
      </c>
      <c r="AH7" s="192">
        <f>'[1]Cl Enr. st'!AS7/'[1]Cl Enr'!AV8*100</f>
        <v>72.159705691408789</v>
      </c>
      <c r="AI7" s="192">
        <f>'[1]Cl Enr. st'!AT7/'[1]Cl Enr'!AW8*100</f>
        <v>72.970612092094584</v>
      </c>
      <c r="AJ7" s="192">
        <f>'[1]Cl Enr. st'!AU7/'[1]Cl Enr'!AX8*100</f>
        <v>72.536292776216285</v>
      </c>
      <c r="AK7" s="192">
        <f>'[1]Cl Enr. st'!AV7/'[1]Cl Enr'!AY8*100</f>
        <v>75.065272636550347</v>
      </c>
      <c r="AL7" s="192">
        <f>'[1]Cl Enr. st'!AW7/'[1]Cl Enr'!AZ8*100</f>
        <v>76.926836389486581</v>
      </c>
      <c r="AM7" s="192">
        <f>'[1]Cl Enr. st'!AX7/'[1]Cl Enr'!BA8*100</f>
        <v>75.954289871326594</v>
      </c>
      <c r="AN7" s="192">
        <f>'[1]Cl Enr. st'!BE7/'[1]Cl Enr'!BH8*100</f>
        <v>72.38366910322695</v>
      </c>
      <c r="AO7" s="192">
        <f>'[1]Cl Enr. st'!BF7/'[1]Cl Enr'!BI8*100</f>
        <v>71.315980503992535</v>
      </c>
      <c r="AP7" s="192">
        <f>'[1]Cl Enr. st'!BG7/'[1]Cl Enr'!BJ8*100</f>
        <v>71.890129907482859</v>
      </c>
      <c r="AQ7" s="192">
        <f>'[1]Cl Enr. st'!BH7/'[1]Cl Enr'!BK8*100</f>
        <v>74.901401085132818</v>
      </c>
      <c r="AR7" s="192">
        <f>'[1]Cl Enr. st'!BI7/'[1]Cl Enr'!BL8*100</f>
        <v>76.603227388542649</v>
      </c>
      <c r="AS7" s="192">
        <f>'[1]Cl Enr. st'!BJ7/'[1]Cl Enr'!BM8*100</f>
        <v>75.712583317653355</v>
      </c>
      <c r="AT7" s="192">
        <f>'Rural enrl'!V7/'[1]Cl Enr'!X8*100</f>
        <v>79.920514256754956</v>
      </c>
      <c r="AU7" s="192">
        <f>'Rural enrl'!W7/'[1]Cl Enr'!Y8*100</f>
        <v>79.845169202468085</v>
      </c>
      <c r="AV7" s="192">
        <f>'Rural enrl'!X7/'[1]Cl Enr'!Z8*100</f>
        <v>79.884249118033622</v>
      </c>
      <c r="AW7" s="192">
        <f>'Rural enrl'!AH7/'[1]Cl Enr'!AJ8*100</f>
        <v>73.867671570403644</v>
      </c>
      <c r="AX7" s="192">
        <f>'Rural enrl'!AI7/'[1]Cl Enr'!AK8*100</f>
        <v>78.6498708010336</v>
      </c>
      <c r="AY7" s="192">
        <f>'Rural enrl'!AJ7/'[1]Cl Enr'!AL8*100</f>
        <v>76.129549707825689</v>
      </c>
      <c r="AZ7" s="192">
        <f>('Rural enrl'!V7+'Rural enrl'!AH7)/('[1]Cl Enr'!X8+'[1]Cl Enr'!AJ8)*100</f>
        <v>78.292064729966853</v>
      </c>
      <c r="BA7" s="192">
        <f>('Rural enrl'!W7+'Rural enrl'!AI7)/('[1]Cl Enr'!Y8+'[1]Cl Enr'!AK8)*100</f>
        <v>79.531386902574823</v>
      </c>
      <c r="BB7" s="192">
        <f>('Rural enrl'!X7+'Rural enrl'!AJ7)/('[1]Cl Enr'!Z8+'[1]Cl Enr'!AL8)*100</f>
        <v>78.885827064869289</v>
      </c>
      <c r="BC7" s="191">
        <f>'Rural enrl'!AT7/'[1]Cl Enr'!AV8*100</f>
        <v>61.312486474789004</v>
      </c>
      <c r="BD7" s="191">
        <f>'Rural enrl'!AU7/'[1]Cl Enr'!AW8*100</f>
        <v>62.700443002433396</v>
      </c>
      <c r="BE7" s="191">
        <f>'Rural enrl'!AV7/'[1]Cl Enr'!AX8*100</f>
        <v>61.95705717017762</v>
      </c>
      <c r="BF7" s="191">
        <f>'Rural enrl'!AW7/'[1]Cl Enr'!AY8*100</f>
        <v>76.471100177541572</v>
      </c>
      <c r="BG7" s="191">
        <f>'Rural enrl'!AX7/'[1]Cl Enr'!AZ8*100</f>
        <v>77.819245831508539</v>
      </c>
      <c r="BH7" s="191">
        <f>'Rural enrl'!AY7/'[1]Cl Enr'!BA8*100</f>
        <v>77.11492702444643</v>
      </c>
      <c r="BI7" s="191">
        <f>'Rural enrl'!BF7/'[1]Cl Enr'!BH8*100</f>
        <v>48.564806560884293</v>
      </c>
      <c r="BJ7" s="191">
        <f>'Rural enrl'!BG7/'[1]Cl Enr'!BI8*100</f>
        <v>50.243700093331952</v>
      </c>
      <c r="BK7" s="191">
        <f>'Rural enrl'!BH7/'[1]Cl Enr'!BJ8*100</f>
        <v>49.340875317578259</v>
      </c>
      <c r="BL7" s="191">
        <f>'Rural enrl'!BI7/'[1]Cl Enr'!BK8*100</f>
        <v>74.765759484017167</v>
      </c>
      <c r="BM7" s="191">
        <f>'Rural enrl'!BJ7/'[1]Cl Enr'!BL8*100</f>
        <v>76.22881203870952</v>
      </c>
      <c r="BN7" s="191">
        <f>'Rural enrl'!BK7/'[1]Cl Enr'!BM8*100</f>
        <v>75.463129265664293</v>
      </c>
    </row>
    <row r="8" spans="2:66" ht="21.95" customHeight="1">
      <c r="B8" s="169">
        <v>3</v>
      </c>
      <c r="C8" s="173" t="s">
        <v>48</v>
      </c>
      <c r="D8" s="192">
        <f>'[1]Cl Enr. sc'!U8/'[1]Cl Enr'!X9*100</f>
        <v>9.8592955204288142</v>
      </c>
      <c r="E8" s="192">
        <f>'[1]Cl Enr. sc'!V8/'[1]Cl Enr'!Y9*100</f>
        <v>9.6745781378204132</v>
      </c>
      <c r="F8" s="192">
        <f>'[1]Cl Enr. sc'!W8/'[1]Cl Enr'!Z9*100</f>
        <v>9.767017915540146</v>
      </c>
      <c r="G8" s="192">
        <f>'[1]Cl Enr. sc'!AG8/'[1]Cl Enr'!AJ9*100</f>
        <v>10.801015869666209</v>
      </c>
      <c r="H8" s="192">
        <f>'[1]Cl Enr. sc'!AH8/'[1]Cl Enr'!AK9*100</f>
        <v>10.327153730743548</v>
      </c>
      <c r="I8" s="192">
        <f>'[1]Cl Enr. sc'!AI8/'[1]Cl Enr'!AL9*100</f>
        <v>10.562451199483052</v>
      </c>
      <c r="J8" s="192">
        <f>('[1]Cl Enr. sc'!U8+'[1]Cl Enr. sc'!AG8)/('[1]Cl Enr'!X9+'[1]Cl Enr'!AJ9)*100</f>
        <v>10.158875642129575</v>
      </c>
      <c r="K8" s="192">
        <f>('[1]Cl Enr. sc'!V8+'[1]Cl Enr. sc'!AH8)/('[1]Cl Enr'!Y9+'[1]Cl Enr'!AK9)*100</f>
        <v>9.8843823190453186</v>
      </c>
      <c r="L8" s="192">
        <f>('[1]Cl Enr. sc'!W8+'[1]Cl Enr. sc'!AI8)/('[1]Cl Enr'!Z9+'[1]Cl Enr'!AL9)*100</f>
        <v>10.021408302809611</v>
      </c>
      <c r="M8" s="192">
        <f>'[1]Cl Enr. sc'!AS8/'[1]Cl Enr'!AV9*100</f>
        <v>10.802604883447072</v>
      </c>
      <c r="N8" s="192">
        <f>'[1]Cl Enr. sc'!AT8/'[1]Cl Enr'!AW9*100</f>
        <v>10.061927141057728</v>
      </c>
      <c r="O8" s="192">
        <f>'[1]Cl Enr. sc'!AU8/'[1]Cl Enr'!AX9*100</f>
        <v>10.459540398670489</v>
      </c>
      <c r="P8" s="192">
        <f>'[1]Cl Enr. sc'!AV8/'[1]Cl Enr'!AY9*100</f>
        <v>10.249713104612509</v>
      </c>
      <c r="Q8" s="192">
        <f>'[1]Cl Enr. sc'!AW8/'[1]Cl Enr'!AZ9*100</f>
        <v>9.9063635108817749</v>
      </c>
      <c r="R8" s="192">
        <f>'[1]Cl Enr. sc'!AX8/'[1]Cl Enr'!BA9*100</f>
        <v>10.079474495665917</v>
      </c>
      <c r="S8" s="192">
        <f>'[1]Cl Enr. sc'!BE8/'[1]Cl Enr'!BH9*100</f>
        <v>11.174526884950435</v>
      </c>
      <c r="T8" s="192">
        <f>'[1]Cl Enr. sc'!BF8/'[1]Cl Enr'!BI9*100</f>
        <v>8.2995506496043756</v>
      </c>
      <c r="U8" s="192">
        <f>'[1]Cl Enr. sc'!BG8/'[1]Cl Enr'!BJ9*100</f>
        <v>9.8299335267377845</v>
      </c>
      <c r="V8" s="192">
        <f>'[1]Cl Enr. sc'!BH8/'[1]Cl Enr'!BK9*100</f>
        <v>10.282988205994045</v>
      </c>
      <c r="W8" s="192">
        <f>'[1]Cl Enr. sc'!BI8/'[1]Cl Enr'!BL9*100</f>
        <v>9.8545125996746119</v>
      </c>
      <c r="X8" s="192">
        <f>'[1]Cl Enr. sc'!BJ8/'[1]Cl Enr'!BM9*100</f>
        <v>10.070954179577308</v>
      </c>
      <c r="Y8" s="192">
        <f>'[1]Cl Enr. st'!U8/'[1]Cl Enr'!X9*100</f>
        <v>14.238226768035881</v>
      </c>
      <c r="Z8" s="192">
        <f>'[1]Cl Enr. st'!V8/'[1]Cl Enr'!Y9*100</f>
        <v>14.258592372715356</v>
      </c>
      <c r="AA8" s="192">
        <f>'[1]Cl Enr. st'!W8/'[1]Cl Enr'!Z9*100</f>
        <v>14.248400630373004</v>
      </c>
      <c r="AB8" s="192">
        <f>'[1]Cl Enr. st'!AG8/'[1]Cl Enr'!AJ9*100</f>
        <v>16.517114590156968</v>
      </c>
      <c r="AC8" s="192">
        <f>'[1]Cl Enr. st'!AH8/'[1]Cl Enr'!AK9*100</f>
        <v>15.550281421009879</v>
      </c>
      <c r="AD8" s="192">
        <f>'[1]Cl Enr. st'!AI8/'[1]Cl Enr'!AL9*100</f>
        <v>16.030364927809799</v>
      </c>
      <c r="AE8" s="192">
        <f>('[1]Cl Enr. st'!U8+'[1]Cl Enr. st'!AG8)/('[1]Cl Enr'!X9+'[1]Cl Enr'!AJ9)*100</f>
        <v>14.963186668972794</v>
      </c>
      <c r="AF8" s="192">
        <f>('[1]Cl Enr. st'!V8+'[1]Cl Enr. st'!AH8)/('[1]Cl Enr'!Y9+'[1]Cl Enr'!AK9)*100</f>
        <v>14.673872634670435</v>
      </c>
      <c r="AG8" s="192">
        <f>('[1]Cl Enr. st'!W8+'[1]Cl Enr. st'!AI8)/('[1]Cl Enr'!Z9+'[1]Cl Enr'!AL9)*100</f>
        <v>14.818297058993965</v>
      </c>
      <c r="AH8" s="192">
        <f>'[1]Cl Enr. st'!AS8/'[1]Cl Enr'!AV9*100</f>
        <v>15.33958543194813</v>
      </c>
      <c r="AI8" s="192">
        <f>'[1]Cl Enr. st'!AT8/'[1]Cl Enr'!AW9*100</f>
        <v>16.122433542607386</v>
      </c>
      <c r="AJ8" s="192">
        <f>'[1]Cl Enr. st'!AU8/'[1]Cl Enr'!AX9*100</f>
        <v>15.7021822380507</v>
      </c>
      <c r="AK8" s="192">
        <f>'[1]Cl Enr. st'!AV8/'[1]Cl Enr'!AY9*100</f>
        <v>15.016300783286471</v>
      </c>
      <c r="AL8" s="192">
        <f>'[1]Cl Enr. st'!AW8/'[1]Cl Enr'!AZ9*100</f>
        <v>14.853213799584445</v>
      </c>
      <c r="AM8" s="192">
        <f>'[1]Cl Enr. st'!AX8/'[1]Cl Enr'!BA9*100</f>
        <v>14.935439463658692</v>
      </c>
      <c r="AN8" s="192">
        <f>'[1]Cl Enr. st'!BE8/'[1]Cl Enr'!BH9*100</f>
        <v>19.075870059648974</v>
      </c>
      <c r="AO8" s="192">
        <f>'[1]Cl Enr. st'!BF8/'[1]Cl Enr'!BI9*100</f>
        <v>14.406075998827781</v>
      </c>
      <c r="AP8" s="192">
        <f>'[1]Cl Enr. st'!BG8/'[1]Cl Enr'!BJ9*100</f>
        <v>16.891861022911574</v>
      </c>
      <c r="AQ8" s="192">
        <f>'[1]Cl Enr. st'!BH8/'[1]Cl Enr'!BK9*100</f>
        <v>15.162365409601804</v>
      </c>
      <c r="AR8" s="192">
        <f>'[1]Cl Enr. st'!BI8/'[1]Cl Enr'!BL9*100</f>
        <v>14.838784924285321</v>
      </c>
      <c r="AS8" s="192">
        <f>'[1]Cl Enr. st'!BJ8/'[1]Cl Enr'!BM9*100</f>
        <v>15.002239437061874</v>
      </c>
      <c r="AT8" s="192">
        <f>'Rural enrl'!V8/'[1]Cl Enr'!X9*100</f>
        <v>0</v>
      </c>
      <c r="AU8" s="192">
        <f>'Rural enrl'!W8/'[1]Cl Enr'!Y9*100</f>
        <v>0</v>
      </c>
      <c r="AV8" s="192">
        <f>'Rural enrl'!X8/'[1]Cl Enr'!Z9*100</f>
        <v>0</v>
      </c>
      <c r="AW8" s="192">
        <f>'Rural enrl'!AH8/'[1]Cl Enr'!AJ9*100</f>
        <v>0</v>
      </c>
      <c r="AX8" s="192">
        <f>'Rural enrl'!AI8/'[1]Cl Enr'!AK9*100</f>
        <v>0</v>
      </c>
      <c r="AY8" s="192">
        <f>'Rural enrl'!AJ8/'[1]Cl Enr'!AL9*100</f>
        <v>0</v>
      </c>
      <c r="AZ8" s="192">
        <f>('Rural enrl'!V8+'Rural enrl'!AH8)/('[1]Cl Enr'!X9+'[1]Cl Enr'!AJ9)*100</f>
        <v>0</v>
      </c>
      <c r="BA8" s="192">
        <f>('Rural enrl'!W8+'Rural enrl'!AI8)/('[1]Cl Enr'!Y9+'[1]Cl Enr'!AK9)*100</f>
        <v>0</v>
      </c>
      <c r="BB8" s="192">
        <f>('Rural enrl'!X8+'Rural enrl'!AJ8)/('[1]Cl Enr'!Z9+'[1]Cl Enr'!AL9)*100</f>
        <v>0</v>
      </c>
      <c r="BC8" s="191">
        <f>'Rural enrl'!AT8/'[1]Cl Enr'!AV9*100</f>
        <v>0</v>
      </c>
      <c r="BD8" s="191">
        <f>'Rural enrl'!AU8/'[1]Cl Enr'!AW9*100</f>
        <v>0</v>
      </c>
      <c r="BE8" s="191">
        <f>'Rural enrl'!AV8/'[1]Cl Enr'!AX9*100</f>
        <v>0</v>
      </c>
      <c r="BF8" s="191">
        <f>'Rural enrl'!AW8/'[1]Cl Enr'!AY9*100</f>
        <v>0</v>
      </c>
      <c r="BG8" s="191">
        <f>'Rural enrl'!AX8/'[1]Cl Enr'!AZ9*100</f>
        <v>0</v>
      </c>
      <c r="BH8" s="191">
        <f>'Rural enrl'!AY8/'[1]Cl Enr'!BA9*100</f>
        <v>0</v>
      </c>
      <c r="BI8" s="191">
        <f>'Rural enrl'!BF8/'[1]Cl Enr'!BH9*100</f>
        <v>0</v>
      </c>
      <c r="BJ8" s="191">
        <f>'Rural enrl'!BG8/'[1]Cl Enr'!BI9*100</f>
        <v>0</v>
      </c>
      <c r="BK8" s="191">
        <f>'Rural enrl'!BH8/'[1]Cl Enr'!BJ9*100</f>
        <v>0</v>
      </c>
      <c r="BL8" s="191">
        <f>'Rural enrl'!BI8/'[1]Cl Enr'!BK9*100</f>
        <v>0</v>
      </c>
      <c r="BM8" s="191">
        <f>'Rural enrl'!BJ8/'[1]Cl Enr'!BL9*100</f>
        <v>0</v>
      </c>
      <c r="BN8" s="191">
        <f>'Rural enrl'!BK8/'[1]Cl Enr'!BM9*100</f>
        <v>0</v>
      </c>
    </row>
    <row r="9" spans="2:66" ht="21.95" customHeight="1">
      <c r="B9" s="169">
        <v>4</v>
      </c>
      <c r="C9" s="173" t="s">
        <v>18</v>
      </c>
      <c r="D9" s="192">
        <f>'[1]Cl Enr. sc'!U9/'[1]Cl Enr'!X10*100</f>
        <v>17.643886410944528</v>
      </c>
      <c r="E9" s="192">
        <f>'[1]Cl Enr. sc'!V9/'[1]Cl Enr'!Y10*100</f>
        <v>16.018403688280415</v>
      </c>
      <c r="F9" s="192">
        <f>'[1]Cl Enr. sc'!W9/'[1]Cl Enr'!Z10*100</f>
        <v>16.924915072824611</v>
      </c>
      <c r="G9" s="192">
        <f>'[1]Cl Enr. sc'!AG9/'[1]Cl Enr'!AJ10*100</f>
        <v>13.817584852349182</v>
      </c>
      <c r="H9" s="192">
        <f>'[1]Cl Enr. sc'!AH9/'[1]Cl Enr'!AK10*100</f>
        <v>11.724543968020203</v>
      </c>
      <c r="I9" s="192">
        <f>'[1]Cl Enr. sc'!AI9/'[1]Cl Enr'!AL10*100</f>
        <v>12.91216999683764</v>
      </c>
      <c r="J9" s="192">
        <f>('[1]Cl Enr. sc'!U9+'[1]Cl Enr. sc'!AG9)/('[1]Cl Enr'!X10+'[1]Cl Enr'!AJ10)*100</f>
        <v>16.756615810087464</v>
      </c>
      <c r="K9" s="192">
        <f>('[1]Cl Enr. sc'!V9+'[1]Cl Enr. sc'!AH9)/('[1]Cl Enr'!Y10+'[1]Cl Enr'!AK10)*100</f>
        <v>15.052628793758629</v>
      </c>
      <c r="L9" s="192">
        <f>('[1]Cl Enr. sc'!W9+'[1]Cl Enr. sc'!AI9)/('[1]Cl Enr'!Z10+'[1]Cl Enr'!AL10)*100</f>
        <v>16.006714477719687</v>
      </c>
      <c r="M9" s="192">
        <f>'[1]Cl Enr. sc'!AS9/'[1]Cl Enr'!AV10*100</f>
        <v>10.756493604062948</v>
      </c>
      <c r="N9" s="192">
        <f>'[1]Cl Enr. sc'!AT9/'[1]Cl Enr'!AW10*100</f>
        <v>9.4922337067217235</v>
      </c>
      <c r="O9" s="192">
        <f>'[1]Cl Enr. sc'!AU9/'[1]Cl Enr'!AX10*100</f>
        <v>10.242496910308898</v>
      </c>
      <c r="P9" s="192">
        <f>'[1]Cl Enr. sc'!AV9/'[1]Cl Enr'!AY10*100</f>
        <v>16.21679567823924</v>
      </c>
      <c r="Q9" s="192">
        <f>'[1]Cl Enr. sc'!AW9/'[1]Cl Enr'!AZ10*100</f>
        <v>14.611495647015413</v>
      </c>
      <c r="R9" s="192">
        <f>'[1]Cl Enr. sc'!AX9/'[1]Cl Enr'!BA10*100</f>
        <v>15.514917072710555</v>
      </c>
      <c r="S9" s="192">
        <f>'[1]Cl Enr. sc'!BE9/'[1]Cl Enr'!BH10*100</f>
        <v>10.501642302160285</v>
      </c>
      <c r="T9" s="192">
        <f>'[1]Cl Enr. sc'!BF9/'[1]Cl Enr'!BI10*100</f>
        <v>7.9901434732978354</v>
      </c>
      <c r="U9" s="192">
        <f>'[1]Cl Enr. sc'!BG9/'[1]Cl Enr'!BJ10*100</f>
        <v>9.4832233646401107</v>
      </c>
      <c r="V9" s="192">
        <f>'[1]Cl Enr. sc'!BH9/'[1]Cl Enr'!BK10*100</f>
        <v>16.004072536547493</v>
      </c>
      <c r="W9" s="192">
        <f>'[1]Cl Enr. sc'!BI9/'[1]Cl Enr'!BL10*100</f>
        <v>14.394134116288868</v>
      </c>
      <c r="X9" s="192">
        <f>'[1]Cl Enr. sc'!BJ9/'[1]Cl Enr'!BM10*100</f>
        <v>15.301969019933665</v>
      </c>
      <c r="Y9" s="192">
        <f>'[1]Cl Enr. st'!U9/'[1]Cl Enr'!X10*100</f>
        <v>1.683181401213609</v>
      </c>
      <c r="Z9" s="192">
        <f>'[1]Cl Enr. st'!V9/'[1]Cl Enr'!Y10*100</f>
        <v>1.1786052815912886</v>
      </c>
      <c r="AA9" s="192">
        <f>'[1]Cl Enr. st'!W9/'[1]Cl Enr'!Z10*100</f>
        <v>1.4600010727794579</v>
      </c>
      <c r="AB9" s="192">
        <f>'[1]Cl Enr. st'!AG9/'[1]Cl Enr'!AJ10*100</f>
        <v>1.5331376215120147</v>
      </c>
      <c r="AC9" s="192">
        <f>'[1]Cl Enr. st'!AH9/'[1]Cl Enr'!AK10*100</f>
        <v>1.0170144757207751</v>
      </c>
      <c r="AD9" s="192">
        <f>'[1]Cl Enr. st'!AI9/'[1]Cl Enr'!AL10*100</f>
        <v>1.3098712883163524</v>
      </c>
      <c r="AE9" s="192">
        <f>('[1]Cl Enr. st'!U9+'[1]Cl Enr. st'!AG9)/('[1]Cl Enr'!X10+'[1]Cl Enr'!AJ10)*100</f>
        <v>1.6483881596115093</v>
      </c>
      <c r="AF9" s="192">
        <f>('[1]Cl Enr. st'!V9+'[1]Cl Enr. st'!AH9)/('[1]Cl Enr'!Y10+'[1]Cl Enr'!AK10)*100</f>
        <v>1.1422602788053504</v>
      </c>
      <c r="AG9" s="192">
        <f>('[1]Cl Enr. st'!W9+'[1]Cl Enr. st'!AI9)/('[1]Cl Enr'!Z10+'[1]Cl Enr'!AL10)*100</f>
        <v>1.4256482158631505</v>
      </c>
      <c r="AH9" s="192">
        <f>'[1]Cl Enr. st'!AS9/'[1]Cl Enr'!AV10*100</f>
        <v>1.1157078604413548</v>
      </c>
      <c r="AI9" s="192">
        <f>'[1]Cl Enr. st'!AT9/'[1]Cl Enr'!AW10*100</f>
        <v>0.88124728585486245</v>
      </c>
      <c r="AJ9" s="192">
        <f>'[1]Cl Enr. st'!AU9/'[1]Cl Enr'!AX10*100</f>
        <v>1.0203857194744761</v>
      </c>
      <c r="AK9" s="192">
        <f>'[1]Cl Enr. st'!AV9/'[1]Cl Enr'!AY10*100</f>
        <v>1.6004638774956781</v>
      </c>
      <c r="AL9" s="192">
        <f>'[1]Cl Enr. st'!AW9/'[1]Cl Enr'!AZ10*100</f>
        <v>1.1215528504448105</v>
      </c>
      <c r="AM9" s="192">
        <f>'[1]Cl Enr. st'!AX9/'[1]Cl Enr'!BA10*100</f>
        <v>1.3910716160487546</v>
      </c>
      <c r="AN9" s="192">
        <f>'[1]Cl Enr. st'!BE9/'[1]Cl Enr'!BH10*100</f>
        <v>1.4094192847535147</v>
      </c>
      <c r="AO9" s="192">
        <f>'[1]Cl Enr. st'!BF9/'[1]Cl Enr'!BI10*100</f>
        <v>1.1127895611043139</v>
      </c>
      <c r="AP9" s="192">
        <f>'[1]Cl Enr. st'!BG9/'[1]Cl Enr'!BJ10*100</f>
        <v>1.2891352039791066</v>
      </c>
      <c r="AQ9" s="192">
        <f>'[1]Cl Enr. st'!BH9/'[1]Cl Enr'!BK10*100</f>
        <v>1.593353026168147</v>
      </c>
      <c r="AR9" s="192">
        <f>'[1]Cl Enr. st'!BI9/'[1]Cl Enr'!BL10*100</f>
        <v>1.121265174765391</v>
      </c>
      <c r="AS9" s="192">
        <f>'[1]Cl Enr. st'!BJ9/'[1]Cl Enr'!BM10*100</f>
        <v>1.3874727661223651</v>
      </c>
      <c r="AT9" s="192">
        <f>'Rural enrl'!V9/'[1]Cl Enr'!X10*100</f>
        <v>0</v>
      </c>
      <c r="AU9" s="192">
        <f>'Rural enrl'!W9/'[1]Cl Enr'!Y10*100</f>
        <v>0</v>
      </c>
      <c r="AV9" s="192">
        <f>'Rural enrl'!X9/'[1]Cl Enr'!Z10*100</f>
        <v>0</v>
      </c>
      <c r="AW9" s="192">
        <f>'Rural enrl'!AH9/'[1]Cl Enr'!AJ10*100</f>
        <v>0</v>
      </c>
      <c r="AX9" s="192">
        <f>'Rural enrl'!AI9/'[1]Cl Enr'!AK10*100</f>
        <v>0</v>
      </c>
      <c r="AY9" s="192">
        <f>'Rural enrl'!AJ9/'[1]Cl Enr'!AL10*100</f>
        <v>0</v>
      </c>
      <c r="AZ9" s="192">
        <f>('Rural enrl'!V9+'Rural enrl'!AH9)/('[1]Cl Enr'!X10+'[1]Cl Enr'!AJ10)*100</f>
        <v>0</v>
      </c>
      <c r="BA9" s="192">
        <f>('Rural enrl'!W9+'Rural enrl'!AI9)/('[1]Cl Enr'!Y10+'[1]Cl Enr'!AK10)*100</f>
        <v>0</v>
      </c>
      <c r="BB9" s="192">
        <f>('Rural enrl'!X9+'Rural enrl'!AJ9)/('[1]Cl Enr'!Z10+'[1]Cl Enr'!AL10)*100</f>
        <v>0</v>
      </c>
      <c r="BC9" s="191">
        <f>'Rural enrl'!AT9/'[1]Cl Enr'!AV10*100</f>
        <v>0</v>
      </c>
      <c r="BD9" s="191">
        <f>'Rural enrl'!AU9/'[1]Cl Enr'!AW10*100</f>
        <v>0</v>
      </c>
      <c r="BE9" s="191">
        <f>'Rural enrl'!AV9/'[1]Cl Enr'!AX10*100</f>
        <v>0</v>
      </c>
      <c r="BF9" s="191">
        <f>'Rural enrl'!AW9/'[1]Cl Enr'!AY10*100</f>
        <v>0</v>
      </c>
      <c r="BG9" s="191">
        <f>'Rural enrl'!AX9/'[1]Cl Enr'!AZ10*100</f>
        <v>0</v>
      </c>
      <c r="BH9" s="191">
        <f>'Rural enrl'!AY9/'[1]Cl Enr'!BA10*100</f>
        <v>0</v>
      </c>
      <c r="BI9" s="191">
        <f>'Rural enrl'!BF9/'[1]Cl Enr'!BH10*100</f>
        <v>0</v>
      </c>
      <c r="BJ9" s="191">
        <f>'Rural enrl'!BG9/'[1]Cl Enr'!BI10*100</f>
        <v>0</v>
      </c>
      <c r="BK9" s="191">
        <f>'Rural enrl'!BH9/'[1]Cl Enr'!BJ10*100</f>
        <v>0</v>
      </c>
      <c r="BL9" s="191">
        <f>'Rural enrl'!BI9/'[1]Cl Enr'!BK10*100</f>
        <v>0</v>
      </c>
      <c r="BM9" s="191">
        <f>'Rural enrl'!BJ9/'[1]Cl Enr'!BL10*100</f>
        <v>0</v>
      </c>
      <c r="BN9" s="191">
        <f>'Rural enrl'!BK9/'[1]Cl Enr'!BM10*100</f>
        <v>0</v>
      </c>
    </row>
    <row r="10" spans="2:66" ht="21.95" customHeight="1">
      <c r="B10" s="169">
        <v>5</v>
      </c>
      <c r="C10" s="194" t="s">
        <v>19</v>
      </c>
      <c r="D10" s="192">
        <f>'[1]Cl Enr. sc'!U10/'[1]Cl Enr'!X11*100</f>
        <v>14.169128591739133</v>
      </c>
      <c r="E10" s="192">
        <f>'[1]Cl Enr. sc'!V10/'[1]Cl Enr'!Y11*100</f>
        <v>14.149050160469306</v>
      </c>
      <c r="F10" s="192">
        <f>'[1]Cl Enr. sc'!W10/'[1]Cl Enr'!Z11*100</f>
        <v>14.15946656939451</v>
      </c>
      <c r="G10" s="192">
        <f>'[1]Cl Enr. sc'!AG10/'[1]Cl Enr'!AJ11*100</f>
        <v>14.766666523793401</v>
      </c>
      <c r="H10" s="192">
        <f>'[1]Cl Enr. sc'!AH10/'[1]Cl Enr'!AK11*100</f>
        <v>13.86313153908341</v>
      </c>
      <c r="I10" s="192">
        <f>'[1]Cl Enr. sc'!AI10/'[1]Cl Enr'!AL11*100</f>
        <v>14.336148684025501</v>
      </c>
      <c r="J10" s="192">
        <f>('[1]Cl Enr. sc'!U10+'[1]Cl Enr. sc'!AG10)/('[1]Cl Enr'!X11+'[1]Cl Enr'!AJ11)*100</f>
        <v>14.344992130427597</v>
      </c>
      <c r="K10" s="192">
        <f>('[1]Cl Enr. sc'!V10+'[1]Cl Enr. sc'!AH10)/('[1]Cl Enr'!Y11+'[1]Cl Enr'!AK11)*100</f>
        <v>14.066022129543482</v>
      </c>
      <c r="L10" s="192">
        <f>('[1]Cl Enr. sc'!W10+'[1]Cl Enr. sc'!AI10)/('[1]Cl Enr'!Z11+'[1]Cl Enr'!AL11)*100</f>
        <v>14.211133922122826</v>
      </c>
      <c r="M10" s="192">
        <f>'[1]Cl Enr. sc'!AS10/'[1]Cl Enr'!AV11*100</f>
        <v>13.553604341941494</v>
      </c>
      <c r="N10" s="192">
        <f>'[1]Cl Enr. sc'!AT10/'[1]Cl Enr'!AW11*100</f>
        <v>12.743826893710203</v>
      </c>
      <c r="O10" s="192">
        <f>'[1]Cl Enr. sc'!AU10/'[1]Cl Enr'!AX11*100</f>
        <v>13.187253147514669</v>
      </c>
      <c r="P10" s="192">
        <f>'[1]Cl Enr. sc'!AV10/'[1]Cl Enr'!AY11*100</f>
        <v>14.257904228299509</v>
      </c>
      <c r="Q10" s="192">
        <f>'[1]Cl Enr. sc'!AW10/'[1]Cl Enr'!AZ11*100</f>
        <v>13.934192101673268</v>
      </c>
      <c r="R10" s="192">
        <f>'[1]Cl Enr. sc'!AX10/'[1]Cl Enr'!BA11*100</f>
        <v>14.103510419217374</v>
      </c>
      <c r="S10" s="192">
        <f>'[1]Cl Enr. sc'!BE10/'[1]Cl Enr'!BH11*100</f>
        <v>14.977874576505565</v>
      </c>
      <c r="T10" s="192">
        <f>'[1]Cl Enr. sc'!BF10/'[1]Cl Enr'!BI11*100</f>
        <v>14.840852904820768</v>
      </c>
      <c r="U10" s="192">
        <f>'[1]Cl Enr. sc'!BG10/'[1]Cl Enr'!BJ11*100</f>
        <v>14.91933886915999</v>
      </c>
      <c r="V10" s="192">
        <f>'[1]Cl Enr. sc'!BH10/'[1]Cl Enr'!BK11*100</f>
        <v>14.301813396397806</v>
      </c>
      <c r="W10" s="192">
        <f>'[1]Cl Enr. sc'!BI10/'[1]Cl Enr'!BL11*100</f>
        <v>13.979926020261033</v>
      </c>
      <c r="X10" s="192">
        <f>'[1]Cl Enr. sc'!BJ10/'[1]Cl Enr'!BM11*100</f>
        <v>14.149186427693333</v>
      </c>
      <c r="Y10" s="192">
        <f>'[1]Cl Enr. st'!U10/'[1]Cl Enr'!X11*100</f>
        <v>30.303308374438249</v>
      </c>
      <c r="Z10" s="192">
        <f>'[1]Cl Enr. st'!V10/'[1]Cl Enr'!Y11*100</f>
        <v>30.493793216863541</v>
      </c>
      <c r="AA10" s="192">
        <f>'[1]Cl Enr. st'!W10/'[1]Cl Enr'!Z11*100</f>
        <v>30.394972348535198</v>
      </c>
      <c r="AB10" s="192">
        <f>'[1]Cl Enr. st'!AG10/'[1]Cl Enr'!AJ11*100</f>
        <v>27.5013894425228</v>
      </c>
      <c r="AC10" s="192">
        <f>'[1]Cl Enr. st'!AH10/'[1]Cl Enr'!AK11*100</f>
        <v>26.84420793206025</v>
      </c>
      <c r="AD10" s="192">
        <f>'[1]Cl Enr. st'!AI10/'[1]Cl Enr'!AL11*100</f>
        <v>27.188254512489568</v>
      </c>
      <c r="AE10" s="192">
        <f>('[1]Cl Enr. st'!U10+'[1]Cl Enr. st'!AG10)/('[1]Cl Enr'!X11+'[1]Cl Enr'!AJ11)*100</f>
        <v>29.478665532450265</v>
      </c>
      <c r="AF10" s="192">
        <f>('[1]Cl Enr. st'!V10+'[1]Cl Enr. st'!AH10)/('[1]Cl Enr'!Y11+'[1]Cl Enr'!AK11)*100</f>
        <v>29.433988582858607</v>
      </c>
      <c r="AG10" s="192">
        <f>('[1]Cl Enr. st'!W10+'[1]Cl Enr. st'!AI10)/('[1]Cl Enr'!Z11+'[1]Cl Enr'!AL11)*100</f>
        <v>29.457228186477906</v>
      </c>
      <c r="AH10" s="192">
        <f>'[1]Cl Enr. st'!AS10/'[1]Cl Enr'!AV11*100</f>
        <v>28.864321129557712</v>
      </c>
      <c r="AI10" s="192">
        <f>'[1]Cl Enr. st'!AT10/'[1]Cl Enr'!AW11*100</f>
        <v>30.271785436449626</v>
      </c>
      <c r="AJ10" s="192">
        <f>'[1]Cl Enr. st'!AU10/'[1]Cl Enr'!AX11*100</f>
        <v>29.501071672647299</v>
      </c>
      <c r="AK10" s="192">
        <f>'[1]Cl Enr. st'!AV10/'[1]Cl Enr'!AY11*100</f>
        <v>29.411060287574813</v>
      </c>
      <c r="AL10" s="192">
        <f>'[1]Cl Enr. st'!AW10/'[1]Cl Enr'!AZ11*100</f>
        <v>29.517521467840506</v>
      </c>
      <c r="AM10" s="192">
        <f>'[1]Cl Enr. st'!AX10/'[1]Cl Enr'!BA11*100</f>
        <v>29.461836720672665</v>
      </c>
      <c r="AN10" s="192">
        <f>'[1]Cl Enr. st'!BE10/'[1]Cl Enr'!BH11*100</f>
        <v>26.826499804097814</v>
      </c>
      <c r="AO10" s="192">
        <f>'[1]Cl Enr. st'!BF10/'[1]Cl Enr'!BI11*100</f>
        <v>26.171971569839307</v>
      </c>
      <c r="AP10" s="192">
        <f>'[1]Cl Enr. st'!BG10/'[1]Cl Enr'!BJ11*100</f>
        <v>26.546885107394157</v>
      </c>
      <c r="AQ10" s="192">
        <f>'[1]Cl Enr. st'!BH10/'[1]Cl Enr'!BK11*100</f>
        <v>29.253434489495795</v>
      </c>
      <c r="AR10" s="192">
        <f>'[1]Cl Enr. st'!BI10/'[1]Cl Enr'!BL11*100</f>
        <v>29.348764744118327</v>
      </c>
      <c r="AS10" s="192">
        <f>'[1]Cl Enr. st'!BJ10/'[1]Cl Enr'!BM11*100</f>
        <v>29.298636534892818</v>
      </c>
      <c r="AT10" s="192">
        <f>'Rural enrl'!V10/'[1]Cl Enr'!X11*100</f>
        <v>70.172134146414137</v>
      </c>
      <c r="AU10" s="192">
        <f>'Rural enrl'!W10/'[1]Cl Enr'!Y11*100</f>
        <v>71.193318618293759</v>
      </c>
      <c r="AV10" s="192">
        <f>'Rural enrl'!X10/'[1]Cl Enr'!Z11*100</f>
        <v>70.663542416945134</v>
      </c>
      <c r="AW10" s="192">
        <f>'Rural enrl'!AH10/'[1]Cl Enr'!AJ11*100</f>
        <v>71.479066923267055</v>
      </c>
      <c r="AX10" s="192">
        <f>'Rural enrl'!AI10/'[1]Cl Enr'!AK11*100</f>
        <v>70.877424317345202</v>
      </c>
      <c r="AY10" s="192">
        <f>'Rural enrl'!AJ10/'[1]Cl Enr'!AL11*100</f>
        <v>71.192395262072949</v>
      </c>
      <c r="AZ10" s="192">
        <f>('Rural enrl'!V10+'Rural enrl'!AH10)/('[1]Cl Enr'!X11+'[1]Cl Enr'!AJ11)*100</f>
        <v>70.5567822342353</v>
      </c>
      <c r="BA10" s="192">
        <f>('Rural enrl'!W10+'Rural enrl'!AI10)/('[1]Cl Enr'!Y11+'[1]Cl Enr'!AK11)*100</f>
        <v>71.101585936940864</v>
      </c>
      <c r="BB10" s="192">
        <f>('Rural enrl'!X10+'Rural enrl'!AJ10)/('[1]Cl Enr'!Z11+'[1]Cl Enr'!AL11)*100</f>
        <v>70.818195458922034</v>
      </c>
      <c r="BC10" s="191">
        <f>'Rural enrl'!AT10/'[1]Cl Enr'!AV11*100</f>
        <v>97.733131108405715</v>
      </c>
      <c r="BD10" s="191">
        <f>'Rural enrl'!AU10/'[1]Cl Enr'!AW11*100</f>
        <v>103.15621797167307</v>
      </c>
      <c r="BE10" s="191">
        <f>'Rural enrl'!AV10/'[1]Cl Enr'!AX11*100</f>
        <v>100.18658835666308</v>
      </c>
      <c r="BF10" s="191">
        <f>'Rural enrl'!AW10/'[1]Cl Enr'!AY11*100</f>
        <v>73.547390941352262</v>
      </c>
      <c r="BG10" s="191">
        <f>'Rural enrl'!AX10/'[1]Cl Enr'!AZ11*100</f>
        <v>74.297606403498548</v>
      </c>
      <c r="BH10" s="191">
        <f>'Rural enrl'!AY10/'[1]Cl Enr'!BA11*100</f>
        <v>73.905204607587933</v>
      </c>
      <c r="BI10" s="191">
        <f>'Rural enrl'!BF10/'[1]Cl Enr'!BH11*100</f>
        <v>87.91802069648989</v>
      </c>
      <c r="BJ10" s="191">
        <f>'Rural enrl'!BG10/'[1]Cl Enr'!BI11*100</f>
        <v>103.42707045735476</v>
      </c>
      <c r="BK10" s="191">
        <f>'Rural enrl'!BH10/'[1]Cl Enr'!BJ11*100</f>
        <v>94.543492323331009</v>
      </c>
      <c r="BL10" s="191">
        <f>'Rural enrl'!BI10/'[1]Cl Enr'!BK11*100</f>
        <v>74.423819254225137</v>
      </c>
      <c r="BM10" s="191">
        <f>'Rural enrl'!BJ10/'[1]Cl Enr'!BL11*100</f>
        <v>75.766959145912793</v>
      </c>
      <c r="BN10" s="191">
        <f>'Rural enrl'!BK10/'[1]Cl Enr'!BM11*100</f>
        <v>75.060686013880968</v>
      </c>
    </row>
    <row r="11" spans="2:66" ht="21.95" customHeight="1">
      <c r="B11" s="169">
        <v>6</v>
      </c>
      <c r="C11" s="173" t="s">
        <v>20</v>
      </c>
      <c r="D11" s="192">
        <f>'[1]Cl Enr. sc'!U11/'[1]Cl Enr'!X12*100</f>
        <v>1.5425047409995669</v>
      </c>
      <c r="E11" s="192">
        <f>'[1]Cl Enr. sc'!V11/'[1]Cl Enr'!Y12*100</f>
        <v>1.7741079718795596</v>
      </c>
      <c r="F11" s="192">
        <f>'[1]Cl Enr. sc'!W11/'[1]Cl Enr'!Z12*100</f>
        <v>1.6522497466236123</v>
      </c>
      <c r="G11" s="192">
        <f>'[1]Cl Enr. sc'!AG11/'[1]Cl Enr'!AJ12*100</f>
        <v>1.6377970242060849</v>
      </c>
      <c r="H11" s="192">
        <f>'[1]Cl Enr. sc'!AH11/'[1]Cl Enr'!AK12*100</f>
        <v>1.8098385906363317</v>
      </c>
      <c r="I11" s="192">
        <f>'[1]Cl Enr. sc'!AI11/'[1]Cl Enr'!AL12*100</f>
        <v>1.7175941774450414</v>
      </c>
      <c r="J11" s="192">
        <f>('[1]Cl Enr. sc'!U11+'[1]Cl Enr. sc'!AG11)/('[1]Cl Enr'!X12+'[1]Cl Enr'!AJ12)*100</f>
        <v>1.5758352509393843</v>
      </c>
      <c r="K11" s="192">
        <f>('[1]Cl Enr. sc'!V11+'[1]Cl Enr. sc'!AH11)/('[1]Cl Enr'!Y12+'[1]Cl Enr'!AK12)*100</f>
        <v>1.786280404482099</v>
      </c>
      <c r="L11" s="192">
        <f>('[1]Cl Enr. sc'!W11+'[1]Cl Enr. sc'!AI11)/('[1]Cl Enr'!Z12+'[1]Cl Enr'!AL12)*100</f>
        <v>1.6748256782606905</v>
      </c>
      <c r="M11" s="192">
        <f>'[1]Cl Enr. sc'!AS11/'[1]Cl Enr'!AV12*100</f>
        <v>1.4133347344086586</v>
      </c>
      <c r="N11" s="192">
        <f>'[1]Cl Enr. sc'!AT11/'[1]Cl Enr'!AW12*100</f>
        <v>1.7555592710249122</v>
      </c>
      <c r="O11" s="192">
        <f>'[1]Cl Enr. sc'!AU11/'[1]Cl Enr'!AX12*100</f>
        <v>1.5794028559065341</v>
      </c>
      <c r="P11" s="192">
        <f>'[1]Cl Enr. sc'!AV11/'[1]Cl Enr'!AY12*100</f>
        <v>1.5504892399980332</v>
      </c>
      <c r="Q11" s="192">
        <f>'[1]Cl Enr. sc'!AW11/'[1]Cl Enr'!AZ12*100</f>
        <v>1.7812425743479137</v>
      </c>
      <c r="R11" s="192">
        <f>'[1]Cl Enr. sc'!AX11/'[1]Cl Enr'!BA12*100</f>
        <v>1.6595807193100707</v>
      </c>
      <c r="S11" s="192">
        <f>'[1]Cl Enr. sc'!BE11/'[1]Cl Enr'!BH12*100</f>
        <v>1.7277985211216047</v>
      </c>
      <c r="T11" s="192">
        <f>'[1]Cl Enr. sc'!BF11/'[1]Cl Enr'!BI12*100</f>
        <v>1.8584134789211078</v>
      </c>
      <c r="U11" s="192">
        <f>'[1]Cl Enr. sc'!BG11/'[1]Cl Enr'!BJ12*100</f>
        <v>1.7935098952270083</v>
      </c>
      <c r="V11" s="192">
        <f>'[1]Cl Enr. sc'!BH11/'[1]Cl Enr'!BK12*100</f>
        <v>1.5683384309245678</v>
      </c>
      <c r="W11" s="192">
        <f>'[1]Cl Enr. sc'!BI11/'[1]Cl Enr'!BL12*100</f>
        <v>1.7899015797544766</v>
      </c>
      <c r="X11" s="192">
        <f>'[1]Cl Enr. sc'!BJ11/'[1]Cl Enr'!BM12*100</f>
        <v>1.6737985262539974</v>
      </c>
      <c r="Y11" s="192">
        <f>'[1]Cl Enr. st'!U11/'[1]Cl Enr'!X12*100</f>
        <v>6.5642312114560468</v>
      </c>
      <c r="Z11" s="192">
        <f>'[1]Cl Enr. st'!V11/'[1]Cl Enr'!Y12*100</f>
        <v>6.7349781138081974</v>
      </c>
      <c r="AA11" s="192">
        <f>'[1]Cl Enr. st'!W11/'[1]Cl Enr'!Z12*100</f>
        <v>6.6451394945042859</v>
      </c>
      <c r="AB11" s="192">
        <f>'[1]Cl Enr. st'!AG11/'[1]Cl Enr'!AJ12*100</f>
        <v>8.7497224072840325</v>
      </c>
      <c r="AC11" s="192">
        <f>'[1]Cl Enr. st'!AH11/'[1]Cl Enr'!AK12*100</f>
        <v>9.0812822898950678</v>
      </c>
      <c r="AD11" s="192">
        <f>'[1]Cl Enr. st'!AI11/'[1]Cl Enr'!AL12*100</f>
        <v>8.9035081191301888</v>
      </c>
      <c r="AE11" s="192">
        <f>('[1]Cl Enr. st'!U11+'[1]Cl Enr. st'!AG11)/('[1]Cl Enr'!X12+'[1]Cl Enr'!AJ12)*100</f>
        <v>7.3286534036293736</v>
      </c>
      <c r="AF11" s="192">
        <f>('[1]Cl Enr. st'!V11+'[1]Cl Enr. st'!AH11)/('[1]Cl Enr'!Y12+'[1]Cl Enr'!AK12)*100</f>
        <v>7.5342989887947525</v>
      </c>
      <c r="AG11" s="192">
        <f>('[1]Cl Enr. st'!W11+'[1]Cl Enr. st'!AI11)/('[1]Cl Enr'!Z12+'[1]Cl Enr'!AL12)*100</f>
        <v>7.4253861817882623</v>
      </c>
      <c r="AH11" s="192">
        <f>'[1]Cl Enr. st'!AS11/'[1]Cl Enr'!AV12*100</f>
        <v>8.9581253612147318</v>
      </c>
      <c r="AI11" s="192">
        <f>'[1]Cl Enr. st'!AT11/'[1]Cl Enr'!AW12*100</f>
        <v>9.0731761689795469</v>
      </c>
      <c r="AJ11" s="192">
        <f>'[1]Cl Enr. st'!AU11/'[1]Cl Enr'!AX12*100</f>
        <v>9.0139549978364339</v>
      </c>
      <c r="AK11" s="192">
        <f>'[1]Cl Enr. st'!AV11/'[1]Cl Enr'!AY12*100</f>
        <v>7.5828102207726218</v>
      </c>
      <c r="AL11" s="192">
        <f>'[1]Cl Enr. st'!AW11/'[1]Cl Enr'!AZ12*100</f>
        <v>7.7866530186989342</v>
      </c>
      <c r="AM11" s="192">
        <f>'[1]Cl Enr. st'!AX11/'[1]Cl Enr'!BA12*100</f>
        <v>7.6791794127305097</v>
      </c>
      <c r="AN11" s="192">
        <f>'[1]Cl Enr. st'!BE11/'[1]Cl Enr'!BH12*100</f>
        <v>5.6739146350391687</v>
      </c>
      <c r="AO11" s="192">
        <f>'[1]Cl Enr. st'!BF11/'[1]Cl Enr'!BI12*100</f>
        <v>5.37999855376383</v>
      </c>
      <c r="AP11" s="192">
        <f>'[1]Cl Enr. st'!BG11/'[1]Cl Enr'!BJ12*100</f>
        <v>5.5260477299185098</v>
      </c>
      <c r="AQ11" s="192">
        <f>'[1]Cl Enr. st'!BH11/'[1]Cl Enr'!BK12*100</f>
        <v>7.3906474555035562</v>
      </c>
      <c r="AR11" s="192">
        <f>'[1]Cl Enr. st'!BI11/'[1]Cl Enr'!BL12*100</f>
        <v>7.5166129804376576</v>
      </c>
      <c r="AS11" s="192">
        <f>'[1]Cl Enr. st'!BJ11/'[1]Cl Enr'!BM12*100</f>
        <v>7.4506047919917204</v>
      </c>
      <c r="AT11" s="192">
        <f>'Rural enrl'!V11/'[1]Cl Enr'!X12*100</f>
        <v>57.507204826113579</v>
      </c>
      <c r="AU11" s="192">
        <f>'Rural enrl'!W11/'[1]Cl Enr'!Y12*100</f>
        <v>57.970221514789756</v>
      </c>
      <c r="AV11" s="192">
        <f>'Rural enrl'!X11/'[1]Cl Enr'!Z12*100</f>
        <v>57.726604913537763</v>
      </c>
      <c r="AW11" s="192">
        <f>'Rural enrl'!AH11/'[1]Cl Enr'!AJ12*100</f>
        <v>62.305685098823005</v>
      </c>
      <c r="AX11" s="192">
        <f>'Rural enrl'!AI11/'[1]Cl Enr'!AK12*100</f>
        <v>62.792414080800953</v>
      </c>
      <c r="AY11" s="192">
        <f>'Rural enrl'!AJ11/'[1]Cl Enr'!AL12*100</f>
        <v>62.531442094452792</v>
      </c>
      <c r="AZ11" s="192">
        <f>('Rural enrl'!V11+'Rural enrl'!AH11)/('[1]Cl Enr'!X12+'[1]Cl Enr'!AJ12)*100</f>
        <v>59.185575718738171</v>
      </c>
      <c r="BA11" s="192">
        <f>('Rural enrl'!W11+'Rural enrl'!AI11)/('[1]Cl Enr'!Y12+'[1]Cl Enr'!AK12)*100</f>
        <v>59.61300901885761</v>
      </c>
      <c r="BB11" s="192">
        <f>('Rural enrl'!X11+'Rural enrl'!AJ11)/('[1]Cl Enr'!Z12+'[1]Cl Enr'!AL12)*100</f>
        <v>59.386634304872779</v>
      </c>
      <c r="BC11" s="191">
        <f>'Rural enrl'!AT11/'[1]Cl Enr'!AV12*100</f>
        <v>63.663111438028686</v>
      </c>
      <c r="BD11" s="191">
        <f>'Rural enrl'!AU11/'[1]Cl Enr'!AW12*100</f>
        <v>60.006687844841998</v>
      </c>
      <c r="BE11" s="191">
        <f>'Rural enrl'!AV11/'[1]Cl Enr'!AX12*100</f>
        <v>61.888792730419731</v>
      </c>
      <c r="BF11" s="191">
        <f>'Rural enrl'!AW11/'[1]Cl Enr'!AY12*100</f>
        <v>59.883959156245389</v>
      </c>
      <c r="BG11" s="191">
        <f>'Rural enrl'!AX11/'[1]Cl Enr'!AZ12*100</f>
        <v>59.677566762324297</v>
      </c>
      <c r="BH11" s="191">
        <f>'Rural enrl'!AY11/'[1]Cl Enr'!BA12*100</f>
        <v>59.786384611396279</v>
      </c>
      <c r="BI11" s="191">
        <f>'Rural enrl'!BF11/'[1]Cl Enr'!BH12*100</f>
        <v>59.059960465627057</v>
      </c>
      <c r="BJ11" s="191">
        <f>'Rural enrl'!BG11/'[1]Cl Enr'!BI12*100</f>
        <v>53.792754356786467</v>
      </c>
      <c r="BK11" s="191">
        <f>'Rural enrl'!BH11/'[1]Cl Enr'!BJ12*100</f>
        <v>56.410069848661237</v>
      </c>
      <c r="BL11" s="191">
        <f>'Rural enrl'!BI11/'[1]Cl Enr'!BK12*100</f>
        <v>59.801009691565021</v>
      </c>
      <c r="BM11" s="191">
        <f>'Rural enrl'!BJ11/'[1]Cl Enr'!BL12*100</f>
        <v>59.017258026564548</v>
      </c>
      <c r="BN11" s="191">
        <f>'Rural enrl'!BK11/'[1]Cl Enr'!BM12*100</f>
        <v>59.427957919453753</v>
      </c>
    </row>
    <row r="12" spans="2:66" ht="21.95" customHeight="1">
      <c r="B12" s="169">
        <v>7</v>
      </c>
      <c r="C12" s="173" t="s">
        <v>21</v>
      </c>
      <c r="D12" s="192">
        <f>'[1]Cl Enr. sc'!U12/'[1]Cl Enr'!X13*100</f>
        <v>6.5794635194414957</v>
      </c>
      <c r="E12" s="192">
        <f>'[1]Cl Enr. sc'!V12/'[1]Cl Enr'!Y13*100</f>
        <v>7.3272452299603552</v>
      </c>
      <c r="F12" s="192">
        <f>'[1]Cl Enr. sc'!W12/'[1]Cl Enr'!Z13*100</f>
        <v>6.9278694965268892</v>
      </c>
      <c r="G12" s="192">
        <f>'[1]Cl Enr. sc'!AG12/'[1]Cl Enr'!AJ13*100</f>
        <v>7.2815646279344435</v>
      </c>
      <c r="H12" s="192">
        <f>'[1]Cl Enr. sc'!AH12/'[1]Cl Enr'!AK13*100</f>
        <v>7.42242462773656</v>
      </c>
      <c r="I12" s="192">
        <f>'[1]Cl Enr. sc'!AI12/'[1]Cl Enr'!AL13*100</f>
        <v>7.3444893152887509</v>
      </c>
      <c r="J12" s="192">
        <f>('[1]Cl Enr. sc'!U12+'[1]Cl Enr. sc'!AG12)/('[1]Cl Enr'!X13+'[1]Cl Enr'!AJ13)*100</f>
        <v>6.7990119656635777</v>
      </c>
      <c r="K12" s="192">
        <f>('[1]Cl Enr. sc'!V12+'[1]Cl Enr. sc'!AH12)/('[1]Cl Enr'!Y13+'[1]Cl Enr'!AK13)*100</f>
        <v>7.3554480011142465</v>
      </c>
      <c r="L12" s="192">
        <f>('[1]Cl Enr. sc'!W12+'[1]Cl Enr. sc'!AI12)/('[1]Cl Enr'!Z13+'[1]Cl Enr'!AL13)*100</f>
        <v>7.0550058297850544</v>
      </c>
      <c r="M12" s="192">
        <f>'[1]Cl Enr. sc'!AS12/'[1]Cl Enr'!AV13*100</f>
        <v>9.331350530052017</v>
      </c>
      <c r="N12" s="192">
        <f>'[1]Cl Enr. sc'!AT12/'[1]Cl Enr'!AW13*100</f>
        <v>9.4385295172590311</v>
      </c>
      <c r="O12" s="192">
        <f>'[1]Cl Enr. sc'!AU12/'[1]Cl Enr'!AX13*100</f>
        <v>9.3750827368922689</v>
      </c>
      <c r="P12" s="192">
        <f>'[1]Cl Enr. sc'!AV12/'[1]Cl Enr'!AY13*100</f>
        <v>7.1433409975432971</v>
      </c>
      <c r="Q12" s="192">
        <f>'[1]Cl Enr. sc'!AW12/'[1]Cl Enr'!AZ13*100</f>
        <v>7.590688540446668</v>
      </c>
      <c r="R12" s="192">
        <f>'[1]Cl Enr. sc'!AX12/'[1]Cl Enr'!BA13*100</f>
        <v>7.3462260389598573</v>
      </c>
      <c r="S12" s="192">
        <f>'[1]Cl Enr. sc'!BE12/'[1]Cl Enr'!BH13*100</f>
        <v>8.4574028122415221</v>
      </c>
      <c r="T12" s="192">
        <f>'[1]Cl Enr. sc'!BF12/'[1]Cl Enr'!BI13*100</f>
        <v>9.1399926179623865</v>
      </c>
      <c r="U12" s="192">
        <f>'[1]Cl Enr. sc'!BG12/'[1]Cl Enr'!BJ13*100</f>
        <v>8.7505668181868455</v>
      </c>
      <c r="V12" s="192">
        <f>'[1]Cl Enr. sc'!BH12/'[1]Cl Enr'!BK13*100</f>
        <v>7.2389022582937699</v>
      </c>
      <c r="W12" s="192">
        <f>'[1]Cl Enr. sc'!BI12/'[1]Cl Enr'!BL13*100</f>
        <v>7.6935837964765579</v>
      </c>
      <c r="X12" s="192">
        <f>'[1]Cl Enr. sc'!BJ12/'[1]Cl Enr'!BM13*100</f>
        <v>7.444349708364566</v>
      </c>
      <c r="Y12" s="192">
        <f>'[1]Cl Enr. st'!U12/'[1]Cl Enr'!X13*100</f>
        <v>18.056615576124774</v>
      </c>
      <c r="Z12" s="192">
        <f>'[1]Cl Enr. st'!V12/'[1]Cl Enr'!Y13*100</f>
        <v>19.247665114750294</v>
      </c>
      <c r="AA12" s="192">
        <f>'[1]Cl Enr. st'!W12/'[1]Cl Enr'!Z13*100</f>
        <v>18.611548616642708</v>
      </c>
      <c r="AB12" s="192">
        <f>'[1]Cl Enr. st'!AG12/'[1]Cl Enr'!AJ13*100</f>
        <v>12.400017756558828</v>
      </c>
      <c r="AC12" s="192">
        <f>'[1]Cl Enr. st'!AH12/'[1]Cl Enr'!AK13*100</f>
        <v>13.599802378428274</v>
      </c>
      <c r="AD12" s="192">
        <f>'[1]Cl Enr. st'!AI12/'[1]Cl Enr'!AL13*100</f>
        <v>12.935983057777767</v>
      </c>
      <c r="AE12" s="192">
        <f>('[1]Cl Enr. st'!U12+'[1]Cl Enr. st'!AG12)/('[1]Cl Enr'!X13+'[1]Cl Enr'!AJ13)*100</f>
        <v>16.287785920158786</v>
      </c>
      <c r="AF12" s="192">
        <f>('[1]Cl Enr. st'!V12+'[1]Cl Enr. st'!AH12)/('[1]Cl Enr'!Y13+'[1]Cl Enr'!AK13)*100</f>
        <v>17.574137187670875</v>
      </c>
      <c r="AG12" s="192">
        <f>('[1]Cl Enr. st'!W12+'[1]Cl Enr. st'!AI12)/('[1]Cl Enr'!Z13+'[1]Cl Enr'!AL13)*100</f>
        <v>16.879584456932694</v>
      </c>
      <c r="AH12" s="192">
        <f>'[1]Cl Enr. st'!AS12/'[1]Cl Enr'!AV13*100</f>
        <v>12.626456509396574</v>
      </c>
      <c r="AI12" s="192">
        <f>'[1]Cl Enr. st'!AT12/'[1]Cl Enr'!AW13*100</f>
        <v>14.347228155173564</v>
      </c>
      <c r="AJ12" s="192">
        <f>'[1]Cl Enr. st'!AU12/'[1]Cl Enr'!AX13*100</f>
        <v>13.328582397119431</v>
      </c>
      <c r="AK12" s="192">
        <f>'[1]Cl Enr. st'!AV12/'[1]Cl Enr'!AY13*100</f>
        <v>15.789944901138112</v>
      </c>
      <c r="AL12" s="192">
        <f>'[1]Cl Enr. st'!AW12/'[1]Cl Enr'!AZ13*100</f>
        <v>17.209725226209944</v>
      </c>
      <c r="AM12" s="192">
        <f>'[1]Cl Enr. st'!AX12/'[1]Cl Enr'!BA13*100</f>
        <v>16.433856317718391</v>
      </c>
      <c r="AN12" s="192">
        <f>'[1]Cl Enr. st'!BE12/'[1]Cl Enr'!BH13*100</f>
        <v>8.8268110697546192</v>
      </c>
      <c r="AO12" s="192">
        <f>'[1]Cl Enr. st'!BF12/'[1]Cl Enr'!BI13*100</f>
        <v>9.3943581776095364</v>
      </c>
      <c r="AP12" s="192">
        <f>'[1]Cl Enr. st'!BG12/'[1]Cl Enr'!BJ13*100</f>
        <v>9.0705656384676931</v>
      </c>
      <c r="AQ12" s="192">
        <f>'[1]Cl Enr. st'!BH12/'[1]Cl Enr'!BK13*100</f>
        <v>15.283571578164654</v>
      </c>
      <c r="AR12" s="192">
        <f>'[1]Cl Enr. st'!BI12/'[1]Cl Enr'!BL13*100</f>
        <v>16.690676573912604</v>
      </c>
      <c r="AS12" s="192">
        <f>'[1]Cl Enr. st'!BJ12/'[1]Cl Enr'!BM13*100</f>
        <v>15.919370723460229</v>
      </c>
      <c r="AT12" s="192">
        <f>'Rural enrl'!V12/'[1]Cl Enr'!X13*100</f>
        <v>0</v>
      </c>
      <c r="AU12" s="192">
        <f>'Rural enrl'!W12/'[1]Cl Enr'!Y13*100</f>
        <v>0</v>
      </c>
      <c r="AV12" s="192">
        <f>'Rural enrl'!X12/'[1]Cl Enr'!Z13*100</f>
        <v>0</v>
      </c>
      <c r="AW12" s="192">
        <f>'Rural enrl'!AH12/'[1]Cl Enr'!AJ13*100</f>
        <v>0</v>
      </c>
      <c r="AX12" s="192">
        <f>'Rural enrl'!AI12/'[1]Cl Enr'!AK13*100</f>
        <v>0</v>
      </c>
      <c r="AY12" s="192">
        <f>'Rural enrl'!AJ12/'[1]Cl Enr'!AL13*100</f>
        <v>0</v>
      </c>
      <c r="AZ12" s="192">
        <f>('Rural enrl'!V12+'Rural enrl'!AH12)/('[1]Cl Enr'!X13+'[1]Cl Enr'!AJ13)*100</f>
        <v>0</v>
      </c>
      <c r="BA12" s="192">
        <f>('Rural enrl'!W12+'Rural enrl'!AI12)/('[1]Cl Enr'!Y13+'[1]Cl Enr'!AK13)*100</f>
        <v>0</v>
      </c>
      <c r="BB12" s="192">
        <f>('Rural enrl'!X12+'Rural enrl'!AJ12)/('[1]Cl Enr'!Z13+'[1]Cl Enr'!AL13)*100</f>
        <v>0</v>
      </c>
      <c r="BC12" s="191">
        <f>'Rural enrl'!AT12/'[1]Cl Enr'!AV13*100</f>
        <v>0</v>
      </c>
      <c r="BD12" s="191">
        <f>'Rural enrl'!AU12/'[1]Cl Enr'!AW13*100</f>
        <v>0</v>
      </c>
      <c r="BE12" s="191">
        <f>'Rural enrl'!AV12/'[1]Cl Enr'!AX13*100</f>
        <v>0</v>
      </c>
      <c r="BF12" s="191">
        <f>'Rural enrl'!AW12/'[1]Cl Enr'!AY13*100</f>
        <v>0</v>
      </c>
      <c r="BG12" s="191">
        <f>'Rural enrl'!AX12/'[1]Cl Enr'!AZ13*100</f>
        <v>0</v>
      </c>
      <c r="BH12" s="191">
        <f>'Rural enrl'!AY12/'[1]Cl Enr'!BA13*100</f>
        <v>0</v>
      </c>
      <c r="BI12" s="191">
        <f>'Rural enrl'!BF12/'[1]Cl Enr'!BH13*100</f>
        <v>0</v>
      </c>
      <c r="BJ12" s="191">
        <f>'Rural enrl'!BG12/'[1]Cl Enr'!BI13*100</f>
        <v>0</v>
      </c>
      <c r="BK12" s="191">
        <f>'Rural enrl'!BH12/'[1]Cl Enr'!BJ13*100</f>
        <v>0</v>
      </c>
      <c r="BL12" s="191">
        <f>'Rural enrl'!BI12/'[1]Cl Enr'!BK13*100</f>
        <v>0</v>
      </c>
      <c r="BM12" s="191">
        <f>'Rural enrl'!BJ12/'[1]Cl Enr'!BL13*100</f>
        <v>0</v>
      </c>
      <c r="BN12" s="191">
        <f>'Rural enrl'!BK12/'[1]Cl Enr'!BM13*100</f>
        <v>0</v>
      </c>
    </row>
    <row r="13" spans="2:66" ht="21.95" customHeight="1">
      <c r="B13" s="169">
        <v>8</v>
      </c>
      <c r="C13" s="173" t="s">
        <v>22</v>
      </c>
      <c r="D13" s="192">
        <f>'[1]Cl Enr. sc'!U13/'[1]Cl Enr'!X14*100</f>
        <v>33.430300347087268</v>
      </c>
      <c r="E13" s="192">
        <f>'[1]Cl Enr. sc'!V13/'[1]Cl Enr'!Y14*100</f>
        <v>35.637979088864846</v>
      </c>
      <c r="F13" s="192">
        <f>'[1]Cl Enr. sc'!W13/'[1]Cl Enr'!Z14*100</f>
        <v>34.442884788044523</v>
      </c>
      <c r="G13" s="192">
        <f>'[1]Cl Enr. sc'!AG13/'[1]Cl Enr'!AJ14*100</f>
        <v>32.565821817224524</v>
      </c>
      <c r="H13" s="192">
        <f>'[1]Cl Enr. sc'!AH13/'[1]Cl Enr'!AK14*100</f>
        <v>32.161209086018332</v>
      </c>
      <c r="I13" s="192">
        <f>'[1]Cl Enr. sc'!AI13/'[1]Cl Enr'!AL14*100</f>
        <v>32.375596922179753</v>
      </c>
      <c r="J13" s="192">
        <f>('[1]Cl Enr. sc'!U13+'[1]Cl Enr. sc'!AG13)/('[1]Cl Enr'!X14+'[1]Cl Enr'!AJ14)*100</f>
        <v>33.12981980343195</v>
      </c>
      <c r="K13" s="192">
        <f>('[1]Cl Enr. sc'!V13+'[1]Cl Enr. sc'!AH13)/('[1]Cl Enr'!Y14+'[1]Cl Enr'!AK14)*100</f>
        <v>34.3928741506178</v>
      </c>
      <c r="L13" s="192">
        <f>('[1]Cl Enr. sc'!W13+'[1]Cl Enr. sc'!AI13)/('[1]Cl Enr'!Z14+'[1]Cl Enr'!AL14)*100</f>
        <v>33.714247127597631</v>
      </c>
      <c r="M13" s="192">
        <f>'[1]Cl Enr. sc'!AS13/'[1]Cl Enr'!AV14*100</f>
        <v>30.82075055713792</v>
      </c>
      <c r="N13" s="192">
        <f>'[1]Cl Enr. sc'!AT13/'[1]Cl Enr'!AW14*100</f>
        <v>28.54517737704143</v>
      </c>
      <c r="O13" s="192">
        <f>'[1]Cl Enr. sc'!AU13/'[1]Cl Enr'!AX14*100</f>
        <v>29.678163920419149</v>
      </c>
      <c r="P13" s="192">
        <f>'[1]Cl Enr. sc'!AV13/'[1]Cl Enr'!AY14*100</f>
        <v>32.769305052531109</v>
      </c>
      <c r="Q13" s="192">
        <f>'[1]Cl Enr. sc'!AW13/'[1]Cl Enr'!AZ14*100</f>
        <v>33.351536195286194</v>
      </c>
      <c r="R13" s="192">
        <f>'[1]Cl Enr. sc'!AX13/'[1]Cl Enr'!BA14*100</f>
        <v>33.042526812249321</v>
      </c>
      <c r="S13" s="192">
        <f>'[1]Cl Enr. sc'!BE13/'[1]Cl Enr'!BH14*100</f>
        <v>16.429197882122956</v>
      </c>
      <c r="T13" s="192">
        <f>'[1]Cl Enr. sc'!BF13/'[1]Cl Enr'!BI14*100</f>
        <v>15.047605288865039</v>
      </c>
      <c r="U13" s="192">
        <f>'[1]Cl Enr. sc'!BG13/'[1]Cl Enr'!BJ14*100</f>
        <v>15.790995686128081</v>
      </c>
      <c r="V13" s="192">
        <f>'[1]Cl Enr. sc'!BH13/'[1]Cl Enr'!BK14*100</f>
        <v>30.54562844220116</v>
      </c>
      <c r="W13" s="192">
        <f>'[1]Cl Enr. sc'!BI13/'[1]Cl Enr'!BL14*100</f>
        <v>30.923366570477896</v>
      </c>
      <c r="X13" s="192">
        <f>'[1]Cl Enr. sc'!BJ13/'[1]Cl Enr'!BM14*100</f>
        <v>30.722515827663564</v>
      </c>
      <c r="Y13" s="193" t="s">
        <v>168</v>
      </c>
      <c r="Z13" s="193" t="s">
        <v>168</v>
      </c>
      <c r="AA13" s="193" t="s">
        <v>168</v>
      </c>
      <c r="AB13" s="193" t="s">
        <v>168</v>
      </c>
      <c r="AC13" s="193" t="s">
        <v>168</v>
      </c>
      <c r="AD13" s="193" t="s">
        <v>168</v>
      </c>
      <c r="AE13" s="193" t="s">
        <v>168</v>
      </c>
      <c r="AF13" s="193" t="s">
        <v>168</v>
      </c>
      <c r="AG13" s="193" t="s">
        <v>168</v>
      </c>
      <c r="AH13" s="193" t="s">
        <v>168</v>
      </c>
      <c r="AI13" s="193" t="s">
        <v>168</v>
      </c>
      <c r="AJ13" s="193" t="s">
        <v>168</v>
      </c>
      <c r="AK13" s="193" t="s">
        <v>168</v>
      </c>
      <c r="AL13" s="193" t="s">
        <v>168</v>
      </c>
      <c r="AM13" s="193" t="s">
        <v>168</v>
      </c>
      <c r="AN13" s="193" t="s">
        <v>168</v>
      </c>
      <c r="AO13" s="193" t="s">
        <v>168</v>
      </c>
      <c r="AP13" s="193" t="s">
        <v>168</v>
      </c>
      <c r="AQ13" s="193" t="s">
        <v>168</v>
      </c>
      <c r="AR13" s="193" t="s">
        <v>168</v>
      </c>
      <c r="AS13" s="193" t="s">
        <v>168</v>
      </c>
      <c r="AT13" s="192">
        <f>'Rural enrl'!V13/'[1]Cl Enr'!X14*100</f>
        <v>0</v>
      </c>
      <c r="AU13" s="192">
        <f>'Rural enrl'!W13/'[1]Cl Enr'!Y14*100</f>
        <v>0</v>
      </c>
      <c r="AV13" s="192">
        <f>'Rural enrl'!X13/'[1]Cl Enr'!Z14*100</f>
        <v>0</v>
      </c>
      <c r="AW13" s="192">
        <f>'Rural enrl'!AH13/'[1]Cl Enr'!AJ14*100</f>
        <v>0</v>
      </c>
      <c r="AX13" s="192">
        <f>'Rural enrl'!AI13/'[1]Cl Enr'!AK14*100</f>
        <v>0</v>
      </c>
      <c r="AY13" s="192">
        <f>'Rural enrl'!AJ13/'[1]Cl Enr'!AL14*100</f>
        <v>0</v>
      </c>
      <c r="AZ13" s="192">
        <f>('Rural enrl'!V13+'Rural enrl'!AH13)/('[1]Cl Enr'!X14+'[1]Cl Enr'!AJ14)*100</f>
        <v>0</v>
      </c>
      <c r="BA13" s="192">
        <f>('Rural enrl'!W13+'Rural enrl'!AI13)/('[1]Cl Enr'!Y14+'[1]Cl Enr'!AK14)*100</f>
        <v>0</v>
      </c>
      <c r="BB13" s="192">
        <f>('Rural enrl'!X13+'Rural enrl'!AJ13)/('[1]Cl Enr'!Z14+'[1]Cl Enr'!AL14)*100</f>
        <v>0</v>
      </c>
      <c r="BC13" s="191">
        <f>'Rural enrl'!AT13/'[1]Cl Enr'!AV14*100</f>
        <v>0</v>
      </c>
      <c r="BD13" s="191">
        <f>'Rural enrl'!AU13/'[1]Cl Enr'!AW14*100</f>
        <v>0</v>
      </c>
      <c r="BE13" s="191">
        <f>'Rural enrl'!AV13/'[1]Cl Enr'!AX14*100</f>
        <v>0</v>
      </c>
      <c r="BF13" s="191">
        <f>'Rural enrl'!AW13/'[1]Cl Enr'!AY14*100</f>
        <v>0</v>
      </c>
      <c r="BG13" s="191">
        <f>'Rural enrl'!AX13/'[1]Cl Enr'!AZ14*100</f>
        <v>0</v>
      </c>
      <c r="BH13" s="191">
        <f>'Rural enrl'!AY13/'[1]Cl Enr'!BA14*100</f>
        <v>0</v>
      </c>
      <c r="BI13" s="191">
        <f>'Rural enrl'!BF13/'[1]Cl Enr'!BH14*100</f>
        <v>0</v>
      </c>
      <c r="BJ13" s="191">
        <f>'Rural enrl'!BG13/'[1]Cl Enr'!BI14*100</f>
        <v>0</v>
      </c>
      <c r="BK13" s="191">
        <f>'Rural enrl'!BH13/'[1]Cl Enr'!BJ14*100</f>
        <v>0</v>
      </c>
      <c r="BL13" s="191">
        <f>'Rural enrl'!BI13/'[1]Cl Enr'!BK14*100</f>
        <v>0</v>
      </c>
      <c r="BM13" s="191">
        <f>'Rural enrl'!BJ13/'[1]Cl Enr'!BL14*100</f>
        <v>0</v>
      </c>
      <c r="BN13" s="191">
        <f>'Rural enrl'!BK13/'[1]Cl Enr'!BM14*100</f>
        <v>0</v>
      </c>
    </row>
    <row r="14" spans="2:66" ht="21.95" customHeight="1">
      <c r="B14" s="169">
        <v>9</v>
      </c>
      <c r="C14" s="173" t="s">
        <v>23</v>
      </c>
      <c r="D14" s="192">
        <f>'[1]Cl Enr. sc'!U14/'[1]Cl Enr'!X15*100</f>
        <v>27.975201056002348</v>
      </c>
      <c r="E14" s="192">
        <f>'[1]Cl Enr. sc'!V14/'[1]Cl Enr'!Y15*100</f>
        <v>29.411406905780503</v>
      </c>
      <c r="F14" s="192">
        <f>'[1]Cl Enr. sc'!W14/'[1]Cl Enr'!Z15*100</f>
        <v>28.657184394044911</v>
      </c>
      <c r="G14" s="192">
        <f>'[1]Cl Enr. sc'!AG14/'[1]Cl Enr'!AJ15*100</f>
        <v>27.185819923301345</v>
      </c>
      <c r="H14" s="192">
        <f>'[1]Cl Enr. sc'!AH14/'[1]Cl Enr'!AK15*100</f>
        <v>28.080831918244641</v>
      </c>
      <c r="I14" s="192">
        <f>'[1]Cl Enr. sc'!AI14/'[1]Cl Enr'!AL15*100</f>
        <v>27.608320275889458</v>
      </c>
      <c r="J14" s="192">
        <f>('[1]Cl Enr. sc'!U14+'[1]Cl Enr. sc'!AG14)/('[1]Cl Enr'!X15+'[1]Cl Enr'!AJ15)*100</f>
        <v>27.659609586478574</v>
      </c>
      <c r="K14" s="192">
        <f>('[1]Cl Enr. sc'!V14+'[1]Cl Enr. sc'!AH14)/('[1]Cl Enr'!Y15+'[1]Cl Enr'!AK15)*100</f>
        <v>28.883016976707705</v>
      </c>
      <c r="L14" s="192">
        <f>('[1]Cl Enr. sc'!W14+'[1]Cl Enr. sc'!AI14)/('[1]Cl Enr'!Z15+'[1]Cl Enr'!AL15)*100</f>
        <v>28.239185342968025</v>
      </c>
      <c r="M14" s="192">
        <f>'[1]Cl Enr. sc'!AS14/'[1]Cl Enr'!AV15*100</f>
        <v>24.613198187327381</v>
      </c>
      <c r="N14" s="192">
        <f>'[1]Cl Enr. sc'!AT14/'[1]Cl Enr'!AW15*100</f>
        <v>23.666768451493542</v>
      </c>
      <c r="O14" s="192">
        <f>'[1]Cl Enr. sc'!AU14/'[1]Cl Enr'!AX15*100</f>
        <v>24.141113226565125</v>
      </c>
      <c r="P14" s="192">
        <f>'[1]Cl Enr. sc'!AV14/'[1]Cl Enr'!AY15*100</f>
        <v>27.140959328734667</v>
      </c>
      <c r="Q14" s="192">
        <f>'[1]Cl Enr. sc'!AW14/'[1]Cl Enr'!AZ15*100</f>
        <v>27.918531372728101</v>
      </c>
      <c r="R14" s="192">
        <f>'[1]Cl Enr. sc'!AX14/'[1]Cl Enr'!BA15*100</f>
        <v>27.512780483776449</v>
      </c>
      <c r="S14" s="192">
        <f>'[1]Cl Enr. sc'!BE14/'[1]Cl Enr'!BH15*100</f>
        <v>20.82547686910765</v>
      </c>
      <c r="T14" s="192">
        <f>'[1]Cl Enr. sc'!BF14/'[1]Cl Enr'!BI15*100</f>
        <v>20.613366588148356</v>
      </c>
      <c r="U14" s="192">
        <f>'[1]Cl Enr. sc'!BG14/'[1]Cl Enr'!BJ15*100</f>
        <v>20.722174734569013</v>
      </c>
      <c r="V14" s="192">
        <f>'[1]Cl Enr. sc'!BH14/'[1]Cl Enr'!BK15*100</f>
        <v>26.37115212188672</v>
      </c>
      <c r="W14" s="192">
        <f>'[1]Cl Enr. sc'!BI14/'[1]Cl Enr'!BL15*100</f>
        <v>27.000039198663178</v>
      </c>
      <c r="X14" s="192">
        <f>'[1]Cl Enr. sc'!BJ14/'[1]Cl Enr'!BM15*100</f>
        <v>26.672562529311154</v>
      </c>
      <c r="Y14" s="192">
        <f>'[1]Cl Enr. st'!U14/'[1]Cl Enr'!X15*100</f>
        <v>5.5119289153975899</v>
      </c>
      <c r="Z14" s="192">
        <f>'[1]Cl Enr. st'!V14/'[1]Cl Enr'!Y15*100</f>
        <v>5.7058183464785115</v>
      </c>
      <c r="AA14" s="192">
        <f>'[1]Cl Enr. st'!W14/'[1]Cl Enr'!Z15*100</f>
        <v>5.6039974454346773</v>
      </c>
      <c r="AB14" s="192">
        <f>'[1]Cl Enr. st'!AG14/'[1]Cl Enr'!AJ15*100</f>
        <v>5.7335914420448084</v>
      </c>
      <c r="AC14" s="192">
        <f>'[1]Cl Enr. st'!AH14/'[1]Cl Enr'!AK15*100</f>
        <v>5.905921825541367</v>
      </c>
      <c r="AD14" s="192">
        <f>'[1]Cl Enr. st'!AI14/'[1]Cl Enr'!AL15*100</f>
        <v>5.8149419135472096</v>
      </c>
      <c r="AE14" s="192">
        <f>('[1]Cl Enr. st'!U14+'[1]Cl Enr. st'!AG14)/('[1]Cl Enr'!X15+'[1]Cl Enr'!AJ15)*100</f>
        <v>5.6005487209959144</v>
      </c>
      <c r="AF14" s="192">
        <f>('[1]Cl Enr. st'!V14+'[1]Cl Enr. st'!AH14)/('[1]Cl Enr'!Y15+'[1]Cl Enr'!AK15)*100</f>
        <v>5.7852822354736384</v>
      </c>
      <c r="AG14" s="192">
        <f>('[1]Cl Enr. st'!W14+'[1]Cl Enr. st'!AI14)/('[1]Cl Enr'!Z15+'[1]Cl Enr'!AL15)*100</f>
        <v>5.6880641858014105</v>
      </c>
      <c r="AH14" s="192">
        <f>'[1]Cl Enr. st'!AS14/'[1]Cl Enr'!AV15*100</f>
        <v>5.6239329990436095</v>
      </c>
      <c r="AI14" s="192">
        <f>'[1]Cl Enr. st'!AT14/'[1]Cl Enr'!AW15*100</f>
        <v>7.0752429364323817</v>
      </c>
      <c r="AJ14" s="192">
        <f>'[1]Cl Enr. st'!AU14/'[1]Cl Enr'!AX15*100</f>
        <v>6.3478553029454581</v>
      </c>
      <c r="AK14" s="192">
        <f>'[1]Cl Enr. st'!AV14/'[1]Cl Enr'!AY15*100</f>
        <v>5.6045298844855109</v>
      </c>
      <c r="AL14" s="192">
        <f>'[1]Cl Enr. st'!AW14/'[1]Cl Enr'!AZ15*100</f>
        <v>6.0237962786140704</v>
      </c>
      <c r="AM14" s="192">
        <f>'[1]Cl Enr. st'!AX14/'[1]Cl Enr'!BA15*100</f>
        <v>5.8050156351491493</v>
      </c>
      <c r="AN14" s="192">
        <f>'[1]Cl Enr. st'!BE14/'[1]Cl Enr'!BH15*100</f>
        <v>5.9142731857048894</v>
      </c>
      <c r="AO14" s="192">
        <f>'[1]Cl Enr. st'!BF14/'[1]Cl Enr'!BI15*100</f>
        <v>5.7445383585053804</v>
      </c>
      <c r="AP14" s="192">
        <f>'[1]Cl Enr. st'!BG14/'[1]Cl Enr'!BJ15*100</f>
        <v>5.8316087817167537</v>
      </c>
      <c r="AQ14" s="192">
        <f>'[1]Cl Enr. st'!BH14/'[1]Cl Enr'!BK15*100</f>
        <v>5.642285135501699</v>
      </c>
      <c r="AR14" s="192">
        <f>'[1]Cl Enr. st'!BI14/'[1]Cl Enr'!BL15*100</f>
        <v>5.9886846525619228</v>
      </c>
      <c r="AS14" s="192">
        <f>'[1]Cl Enr. st'!BJ14/'[1]Cl Enr'!BM15*100</f>
        <v>5.808306069027517</v>
      </c>
      <c r="AT14" s="192">
        <f>'Rural enrl'!V14/'[1]Cl Enr'!X15*100</f>
        <v>0</v>
      </c>
      <c r="AU14" s="192">
        <f>'Rural enrl'!W14/'[1]Cl Enr'!Y15*100</f>
        <v>0</v>
      </c>
      <c r="AV14" s="192">
        <f>'Rural enrl'!X14/'[1]Cl Enr'!Z15*100</f>
        <v>0</v>
      </c>
      <c r="AW14" s="192">
        <f>'Rural enrl'!AH14/'[1]Cl Enr'!AJ15*100</f>
        <v>0</v>
      </c>
      <c r="AX14" s="192">
        <f>'Rural enrl'!AI14/'[1]Cl Enr'!AK15*100</f>
        <v>0</v>
      </c>
      <c r="AY14" s="192">
        <f>'Rural enrl'!AJ14/'[1]Cl Enr'!AL15*100</f>
        <v>0</v>
      </c>
      <c r="AZ14" s="192">
        <f>('Rural enrl'!V14+'Rural enrl'!AH14)/('[1]Cl Enr'!X15+'[1]Cl Enr'!AJ15)*100</f>
        <v>0</v>
      </c>
      <c r="BA14" s="192">
        <f>('Rural enrl'!W14+'Rural enrl'!AI14)/('[1]Cl Enr'!Y15+'[1]Cl Enr'!AK15)*100</f>
        <v>0</v>
      </c>
      <c r="BB14" s="192">
        <f>('Rural enrl'!X14+'Rural enrl'!AJ14)/('[1]Cl Enr'!Z15+'[1]Cl Enr'!AL15)*100</f>
        <v>0</v>
      </c>
      <c r="BC14" s="191">
        <f>'Rural enrl'!AT14/'[1]Cl Enr'!AV15*100</f>
        <v>0</v>
      </c>
      <c r="BD14" s="191">
        <f>'Rural enrl'!AU14/'[1]Cl Enr'!AW15*100</f>
        <v>0</v>
      </c>
      <c r="BE14" s="191">
        <f>'Rural enrl'!AV14/'[1]Cl Enr'!AX15*100</f>
        <v>0</v>
      </c>
      <c r="BF14" s="191">
        <f>'Rural enrl'!AW14/'[1]Cl Enr'!AY15*100</f>
        <v>0</v>
      </c>
      <c r="BG14" s="191">
        <f>'Rural enrl'!AX14/'[1]Cl Enr'!AZ15*100</f>
        <v>0</v>
      </c>
      <c r="BH14" s="191">
        <f>'Rural enrl'!AY14/'[1]Cl Enr'!BA15*100</f>
        <v>0</v>
      </c>
      <c r="BI14" s="191">
        <f>'Rural enrl'!BF14/'[1]Cl Enr'!BH15*100</f>
        <v>0</v>
      </c>
      <c r="BJ14" s="191">
        <f>'Rural enrl'!BG14/'[1]Cl Enr'!BI15*100</f>
        <v>0</v>
      </c>
      <c r="BK14" s="191">
        <f>'Rural enrl'!BH14/'[1]Cl Enr'!BJ15*100</f>
        <v>0</v>
      </c>
      <c r="BL14" s="191">
        <f>'Rural enrl'!BI14/'[1]Cl Enr'!BK15*100</f>
        <v>0</v>
      </c>
      <c r="BM14" s="191">
        <f>'Rural enrl'!BJ14/'[1]Cl Enr'!BL15*100</f>
        <v>0</v>
      </c>
      <c r="BN14" s="191">
        <f>'Rural enrl'!BK14/'[1]Cl Enr'!BM15*100</f>
        <v>0</v>
      </c>
    </row>
    <row r="15" spans="2:66" ht="21.95" customHeight="1">
      <c r="B15" s="169">
        <v>10</v>
      </c>
      <c r="C15" s="173" t="s">
        <v>51</v>
      </c>
      <c r="D15" s="192">
        <f>'[1]Cl Enr. sc'!U15/'[1]Cl Enr'!X16*100</f>
        <v>7.4846094550215945</v>
      </c>
      <c r="E15" s="192">
        <f>'[1]Cl Enr. sc'!V15/'[1]Cl Enr'!Y16*100</f>
        <v>7.0059333264702177</v>
      </c>
      <c r="F15" s="192">
        <f>'[1]Cl Enr. sc'!W15/'[1]Cl Enr'!Z16*100</f>
        <v>7.2548345954188411</v>
      </c>
      <c r="G15" s="192">
        <f>'[1]Cl Enr. sc'!AG15/'[1]Cl Enr'!AJ16*100</f>
        <v>8.0286024879460527</v>
      </c>
      <c r="H15" s="192">
        <f>'[1]Cl Enr. sc'!AH15/'[1]Cl Enr'!AK16*100</f>
        <v>8.3141291628502803</v>
      </c>
      <c r="I15" s="192">
        <f>'[1]Cl Enr. sc'!AI15/'[1]Cl Enr'!AL16*100</f>
        <v>8.1622502410623827</v>
      </c>
      <c r="J15" s="192">
        <f>('[1]Cl Enr. sc'!U15+'[1]Cl Enr. sc'!AG15)/('[1]Cl Enr'!X16+'[1]Cl Enr'!AJ16)*100</f>
        <v>7.6721025596412629</v>
      </c>
      <c r="K15" s="192">
        <f>('[1]Cl Enr. sc'!V15+'[1]Cl Enr. sc'!AH15)/('[1]Cl Enr'!Y16+'[1]Cl Enr'!AK16)*100</f>
        <v>7.4427651242220474</v>
      </c>
      <c r="L15" s="192">
        <f>('[1]Cl Enr. sc'!W15+'[1]Cl Enr. sc'!AI15)/('[1]Cl Enr'!Z16+'[1]Cl Enr'!AL16)*100</f>
        <v>7.5629459785132509</v>
      </c>
      <c r="M15" s="192">
        <f>'[1]Cl Enr. sc'!AS15/'[1]Cl Enr'!AV16*100</f>
        <v>7.2738145000232217</v>
      </c>
      <c r="N15" s="192">
        <f>'[1]Cl Enr. sc'!AT15/'[1]Cl Enr'!AW16*100</f>
        <v>7.1813176840704225</v>
      </c>
      <c r="O15" s="192">
        <f>'[1]Cl Enr. sc'!AU15/'[1]Cl Enr'!AX16*100</f>
        <v>7.2309499110616837</v>
      </c>
      <c r="P15" s="192">
        <f>'[1]Cl Enr. sc'!AV15/'[1]Cl Enr'!AY16*100</f>
        <v>7.6141497352584393</v>
      </c>
      <c r="Q15" s="192">
        <f>'[1]Cl Enr. sc'!AW15/'[1]Cl Enr'!AZ16*100</f>
        <v>7.4063318779337886</v>
      </c>
      <c r="R15" s="192">
        <f>'[1]Cl Enr. sc'!AX15/'[1]Cl Enr'!BA16*100</f>
        <v>7.5156075449237445</v>
      </c>
      <c r="S15" s="192">
        <f>'[1]Cl Enr. sc'!BE15/'[1]Cl Enr'!BH16*100</f>
        <v>6.0241378124677647</v>
      </c>
      <c r="T15" s="192">
        <f>'[1]Cl Enr. sc'!BF15/'[1]Cl Enr'!BI16*100</f>
        <v>5.6874595294625507</v>
      </c>
      <c r="U15" s="192">
        <f>'[1]Cl Enr. sc'!BG15/'[1]Cl Enr'!BJ16*100</f>
        <v>5.8669098039934395</v>
      </c>
      <c r="V15" s="192">
        <f>'[1]Cl Enr. sc'!BH15/'[1]Cl Enr'!BK16*100</f>
        <v>7.471879691845726</v>
      </c>
      <c r="W15" s="192">
        <f>'[1]Cl Enr. sc'!BI15/'[1]Cl Enr'!BL16*100</f>
        <v>7.2565191180431743</v>
      </c>
      <c r="X15" s="192">
        <f>'[1]Cl Enr. sc'!BJ15/'[1]Cl Enr'!BM16*100</f>
        <v>7.3698975490904708</v>
      </c>
      <c r="Y15" s="192">
        <f>'[1]Cl Enr. st'!U15/'[1]Cl Enr'!X16*100</f>
        <v>10.550499542168057</v>
      </c>
      <c r="Z15" s="192">
        <f>'[1]Cl Enr. st'!V15/'[1]Cl Enr'!Y16*100</f>
        <v>9.7876192670519817</v>
      </c>
      <c r="AA15" s="192">
        <f>'[1]Cl Enr. st'!W15/'[1]Cl Enr'!Z16*100</f>
        <v>10.184300566173599</v>
      </c>
      <c r="AB15" s="192">
        <f>'[1]Cl Enr. st'!AG15/'[1]Cl Enr'!AJ16*100</f>
        <v>8.4215568450067551</v>
      </c>
      <c r="AC15" s="192">
        <f>'[1]Cl Enr. st'!AH15/'[1]Cl Enr'!AK16*100</f>
        <v>7.6902516697034793</v>
      </c>
      <c r="AD15" s="192">
        <f>'[1]Cl Enr. st'!AI15/'[1]Cl Enr'!AL16*100</f>
        <v>8.0792515470712445</v>
      </c>
      <c r="AE15" s="192">
        <f>('[1]Cl Enr. st'!U15+'[1]Cl Enr. st'!AG15)/('[1]Cl Enr'!X16+'[1]Cl Enr'!AJ16)*100</f>
        <v>9.8167363288741605</v>
      </c>
      <c r="AF15" s="192">
        <f>('[1]Cl Enr. st'!V15+'[1]Cl Enr. st'!AH15)/('[1]Cl Enr'!Y16+'[1]Cl Enr'!AK16)*100</f>
        <v>9.0872678115455869</v>
      </c>
      <c r="AG15" s="192">
        <f>('[1]Cl Enr. st'!W15+'[1]Cl Enr. st'!AI15)/('[1]Cl Enr'!Z16+'[1]Cl Enr'!AL16)*100</f>
        <v>9.4695348820342478</v>
      </c>
      <c r="AH15" s="192">
        <f>'[1]Cl Enr. st'!AS15/'[1]Cl Enr'!AV16*100</f>
        <v>5.9936835260786774</v>
      </c>
      <c r="AI15" s="192">
        <f>'[1]Cl Enr. st'!AT15/'[1]Cl Enr'!AW16*100</f>
        <v>4.4305967289813859</v>
      </c>
      <c r="AJ15" s="192">
        <f>'[1]Cl Enr. st'!AU15/'[1]Cl Enr'!AX16*100</f>
        <v>5.2693226669657234</v>
      </c>
      <c r="AK15" s="192">
        <f>'[1]Cl Enr. st'!AV15/'[1]Cl Enr'!AY16*100</f>
        <v>9.260463796127036</v>
      </c>
      <c r="AL15" s="192">
        <f>'[1]Cl Enr. st'!AW15/'[1]Cl Enr'!AZ16*100</f>
        <v>8.4383509801699077</v>
      </c>
      <c r="AM15" s="192">
        <f>'[1]Cl Enr. st'!AX15/'[1]Cl Enr'!BA16*100</f>
        <v>8.8706378272254227</v>
      </c>
      <c r="AN15" s="192">
        <f>'[1]Cl Enr. st'!BE15/'[1]Cl Enr'!BH16*100</f>
        <v>5.6390331121273594</v>
      </c>
      <c r="AO15" s="192">
        <f>'[1]Cl Enr. st'!BF15/'[1]Cl Enr'!BI16*100</f>
        <v>4.0735435512038149</v>
      </c>
      <c r="AP15" s="192">
        <f>'[1]Cl Enr. st'!BG15/'[1]Cl Enr'!BJ16*100</f>
        <v>4.9079529730868972</v>
      </c>
      <c r="AQ15" s="192">
        <f>'[1]Cl Enr. st'!BH15/'[1]Cl Enr'!BK16*100</f>
        <v>8.9364277978783626</v>
      </c>
      <c r="AR15" s="192">
        <f>'[1]Cl Enr. st'!BI15/'[1]Cl Enr'!BL16*100</f>
        <v>8.0579249130998036</v>
      </c>
      <c r="AS15" s="192">
        <f>'[1]Cl Enr. st'!BJ15/'[1]Cl Enr'!BM16*100</f>
        <v>8.5204203317739555</v>
      </c>
      <c r="AT15" s="192">
        <f>'Rural enrl'!V15/'[1]Cl Enr'!X16*100</f>
        <v>0</v>
      </c>
      <c r="AU15" s="192">
        <f>'Rural enrl'!W15/'[1]Cl Enr'!Y16*100</f>
        <v>0</v>
      </c>
      <c r="AV15" s="192">
        <f>'Rural enrl'!X15/'[1]Cl Enr'!Z16*100</f>
        <v>0</v>
      </c>
      <c r="AW15" s="192">
        <f>'Rural enrl'!AH15/'[1]Cl Enr'!AJ16*100</f>
        <v>0</v>
      </c>
      <c r="AX15" s="192">
        <f>'Rural enrl'!AI15/'[1]Cl Enr'!AK16*100</f>
        <v>0</v>
      </c>
      <c r="AY15" s="192">
        <f>'Rural enrl'!AJ15/'[1]Cl Enr'!AL16*100</f>
        <v>0</v>
      </c>
      <c r="AZ15" s="192">
        <f>('Rural enrl'!V15+'Rural enrl'!AH15)/('[1]Cl Enr'!X16+'[1]Cl Enr'!AJ16)*100</f>
        <v>0</v>
      </c>
      <c r="BA15" s="192">
        <f>('Rural enrl'!W15+'Rural enrl'!AI15)/('[1]Cl Enr'!Y16+'[1]Cl Enr'!AK16)*100</f>
        <v>0</v>
      </c>
      <c r="BB15" s="192">
        <f>('Rural enrl'!X15+'Rural enrl'!AJ15)/('[1]Cl Enr'!Z16+'[1]Cl Enr'!AL16)*100</f>
        <v>0</v>
      </c>
      <c r="BC15" s="191">
        <f>'Rural enrl'!AT15/'[1]Cl Enr'!AV16*100</f>
        <v>0</v>
      </c>
      <c r="BD15" s="191">
        <f>'Rural enrl'!AU15/'[1]Cl Enr'!AW16*100</f>
        <v>0</v>
      </c>
      <c r="BE15" s="191">
        <f>'Rural enrl'!AV15/'[1]Cl Enr'!AX16*100</f>
        <v>0</v>
      </c>
      <c r="BF15" s="191">
        <f>'Rural enrl'!AW15/'[1]Cl Enr'!AY16*100</f>
        <v>0</v>
      </c>
      <c r="BG15" s="191">
        <f>'Rural enrl'!AX15/'[1]Cl Enr'!AZ16*100</f>
        <v>0</v>
      </c>
      <c r="BH15" s="191">
        <f>'Rural enrl'!AY15/'[1]Cl Enr'!BA16*100</f>
        <v>0</v>
      </c>
      <c r="BI15" s="191">
        <f>'Rural enrl'!BF15/'[1]Cl Enr'!BH16*100</f>
        <v>0</v>
      </c>
      <c r="BJ15" s="191">
        <f>'Rural enrl'!BG15/'[1]Cl Enr'!BI16*100</f>
        <v>0</v>
      </c>
      <c r="BK15" s="191">
        <f>'Rural enrl'!BH15/'[1]Cl Enr'!BJ16*100</f>
        <v>0</v>
      </c>
      <c r="BL15" s="191">
        <f>'Rural enrl'!BI15/'[1]Cl Enr'!BK16*100</f>
        <v>0</v>
      </c>
      <c r="BM15" s="191">
        <f>'Rural enrl'!BJ15/'[1]Cl Enr'!BL16*100</f>
        <v>0</v>
      </c>
      <c r="BN15" s="191">
        <f>'Rural enrl'!BK15/'[1]Cl Enr'!BM16*100</f>
        <v>0</v>
      </c>
    </row>
    <row r="16" spans="2:66" ht="21.95" customHeight="1">
      <c r="B16" s="169">
        <v>11</v>
      </c>
      <c r="C16" s="173" t="s">
        <v>52</v>
      </c>
      <c r="D16" s="192">
        <f>'[1]Cl Enr. sc'!U16/'[1]Cl Enr'!X17*100</f>
        <v>15.721920296033254</v>
      </c>
      <c r="E16" s="192">
        <f>'[1]Cl Enr. sc'!V16/'[1]Cl Enr'!Y17*100</f>
        <v>15.258779191640517</v>
      </c>
      <c r="F16" s="192">
        <f>'[1]Cl Enr. sc'!W16/'[1]Cl Enr'!Z17*100</f>
        <v>15.494884218709624</v>
      </c>
      <c r="G16" s="192">
        <f>'[1]Cl Enr. sc'!AG16/'[1]Cl Enr'!AJ17*100</f>
        <v>10.206735499913762</v>
      </c>
      <c r="H16" s="192">
        <f>'[1]Cl Enr. sc'!AH16/'[1]Cl Enr'!AK17*100</f>
        <v>10.599763889859402</v>
      </c>
      <c r="I16" s="192">
        <f>'[1]Cl Enr. sc'!AI16/'[1]Cl Enr'!AL17*100</f>
        <v>10.365089725817816</v>
      </c>
      <c r="J16" s="192">
        <f>('[1]Cl Enr. sc'!U16+'[1]Cl Enr. sc'!AG16)/('[1]Cl Enr'!X17+'[1]Cl Enr'!AJ17)*100</f>
        <v>14.484363540785544</v>
      </c>
      <c r="K16" s="192">
        <f>('[1]Cl Enr. sc'!V16+'[1]Cl Enr. sc'!AH16)/('[1]Cl Enr'!Y17+'[1]Cl Enr'!AK17)*100</f>
        <v>14.472533157235382</v>
      </c>
      <c r="L16" s="192">
        <f>('[1]Cl Enr. sc'!W16+'[1]Cl Enr. sc'!AI16)/('[1]Cl Enr'!Z17+'[1]Cl Enr'!AL17)*100</f>
        <v>14.478768756812272</v>
      </c>
      <c r="M16" s="192">
        <f>'[1]Cl Enr. sc'!AS16/'[1]Cl Enr'!AV17*100</f>
        <v>9.9473505982520081</v>
      </c>
      <c r="N16" s="192">
        <f>'[1]Cl Enr. sc'!AT16/'[1]Cl Enr'!AW17*100</f>
        <v>8.5081755417721361</v>
      </c>
      <c r="O16" s="192">
        <f>'[1]Cl Enr. sc'!AU16/'[1]Cl Enr'!AX17*100</f>
        <v>9.359960869928301</v>
      </c>
      <c r="P16" s="192">
        <f>'[1]Cl Enr. sc'!AV16/'[1]Cl Enr'!AY17*100</f>
        <v>14.191251271617498</v>
      </c>
      <c r="Q16" s="192">
        <f>'[1]Cl Enr. sc'!AW16/'[1]Cl Enr'!AZ17*100</f>
        <v>14.171883490476523</v>
      </c>
      <c r="R16" s="192">
        <f>'[1]Cl Enr. sc'!AX16/'[1]Cl Enr'!BA17*100</f>
        <v>14.182164619182963</v>
      </c>
      <c r="S16" s="192">
        <f>'[1]Cl Enr. sc'!BE16/'[1]Cl Enr'!BH17*100</f>
        <v>11.756425064972568</v>
      </c>
      <c r="T16" s="192">
        <f>'[1]Cl Enr. sc'!BF16/'[1]Cl Enr'!BI17*100</f>
        <v>5.8473911833885532</v>
      </c>
      <c r="U16" s="192">
        <f>'[1]Cl Enr. sc'!BG16/'[1]Cl Enr'!BJ17*100</f>
        <v>9.2957123447818262</v>
      </c>
      <c r="V16" s="192">
        <f>'[1]Cl Enr. sc'!BH16/'[1]Cl Enr'!BK17*100</f>
        <v>14.15661490636985</v>
      </c>
      <c r="W16" s="192">
        <f>'[1]Cl Enr. sc'!BI16/'[1]Cl Enr'!BL17*100</f>
        <v>14.07600886326345</v>
      </c>
      <c r="X16" s="192">
        <f>'[1]Cl Enr. sc'!BJ16/'[1]Cl Enr'!BM17*100</f>
        <v>14.118852579259455</v>
      </c>
      <c r="Y16" s="192">
        <f>'[1]Cl Enr. st'!U16/'[1]Cl Enr'!X17*100</f>
        <v>31.742049293643493</v>
      </c>
      <c r="Z16" s="192">
        <f>'[1]Cl Enr. st'!V16/'[1]Cl Enr'!Y17*100</f>
        <v>31.217429773000056</v>
      </c>
      <c r="AA16" s="192">
        <f>'[1]Cl Enr. st'!W16/'[1]Cl Enr'!Z17*100</f>
        <v>31.484875924826529</v>
      </c>
      <c r="AB16" s="192">
        <f>'[1]Cl Enr. st'!AG16/'[1]Cl Enr'!AJ17*100</f>
        <v>21.86884623450042</v>
      </c>
      <c r="AC16" s="192">
        <f>'[1]Cl Enr. st'!AH16/'[1]Cl Enr'!AK17*100</f>
        <v>23.111026932002488</v>
      </c>
      <c r="AD16" s="192">
        <f>'[1]Cl Enr. st'!AI16/'[1]Cl Enr'!AL17*100</f>
        <v>22.369330595981545</v>
      </c>
      <c r="AE16" s="192">
        <f>('[1]Cl Enr. st'!U16+'[1]Cl Enr. st'!AG16)/('[1]Cl Enr'!X17+'[1]Cl Enr'!AJ17)*100</f>
        <v>29.526593312844458</v>
      </c>
      <c r="AF16" s="192">
        <f>('[1]Cl Enr. st'!V16+'[1]Cl Enr. st'!AH16)/('[1]Cl Enr'!Y17+'[1]Cl Enr'!AK17)*100</f>
        <v>29.849409563968273</v>
      </c>
      <c r="AG16" s="192">
        <f>('[1]Cl Enr. st'!W16+'[1]Cl Enr. st'!AI16)/('[1]Cl Enr'!Z17+'[1]Cl Enr'!AL17)*100</f>
        <v>29.67925845514031</v>
      </c>
      <c r="AH16" s="192">
        <f>'[1]Cl Enr. st'!AS16/'[1]Cl Enr'!AV17*100</f>
        <v>21.026703647563451</v>
      </c>
      <c r="AI16" s="192">
        <f>'[1]Cl Enr. st'!AT16/'[1]Cl Enr'!AW17*100</f>
        <v>20.508128774282557</v>
      </c>
      <c r="AJ16" s="192">
        <f>'[1]Cl Enr. st'!AU16/'[1]Cl Enr'!AX17*100</f>
        <v>20.815050761724109</v>
      </c>
      <c r="AK16" s="192">
        <f>'[1]Cl Enr. st'!AV16/'[1]Cl Enr'!AY17*100</f>
        <v>28.977460661246308</v>
      </c>
      <c r="AL16" s="192">
        <f>'[1]Cl Enr. st'!AW16/'[1]Cl Enr'!AZ17*100</f>
        <v>29.378536900458169</v>
      </c>
      <c r="AM16" s="192">
        <f>'[1]Cl Enr. st'!AX16/'[1]Cl Enr'!BA17*100</f>
        <v>29.16563091982891</v>
      </c>
      <c r="AN16" s="192">
        <f>'[1]Cl Enr. st'!BE16/'[1]Cl Enr'!BH17*100</f>
        <v>15.403912792376554</v>
      </c>
      <c r="AO16" s="192">
        <f>'[1]Cl Enr. st'!BF16/'[1]Cl Enr'!BI17*100</f>
        <v>12.660917069222794</v>
      </c>
      <c r="AP16" s="192">
        <f>'[1]Cl Enr. st'!BG16/'[1]Cl Enr'!BJ17*100</f>
        <v>14.261640704814265</v>
      </c>
      <c r="AQ16" s="192">
        <f>'[1]Cl Enr. st'!BH16/'[1]Cl Enr'!BK17*100</f>
        <v>28.784371577348018</v>
      </c>
      <c r="AR16" s="192">
        <f>'[1]Cl Enr. st'!BI16/'[1]Cl Enr'!BL17*100</f>
        <v>29.185997162287613</v>
      </c>
      <c r="AS16" s="192">
        <f>'[1]Cl Enr. st'!BJ16/'[1]Cl Enr'!BM17*100</f>
        <v>28.97252517142002</v>
      </c>
      <c r="AT16" s="192">
        <f>'Rural enrl'!V16/'[1]Cl Enr'!X17*100</f>
        <v>0</v>
      </c>
      <c r="AU16" s="192">
        <f>'Rural enrl'!W16/'[1]Cl Enr'!Y17*100</f>
        <v>0</v>
      </c>
      <c r="AV16" s="192">
        <f>'Rural enrl'!X16/'[1]Cl Enr'!Z17*100</f>
        <v>0</v>
      </c>
      <c r="AW16" s="192">
        <f>'Rural enrl'!AH16/'[1]Cl Enr'!AJ17*100</f>
        <v>0</v>
      </c>
      <c r="AX16" s="192">
        <f>'Rural enrl'!AI16/'[1]Cl Enr'!AK17*100</f>
        <v>0</v>
      </c>
      <c r="AY16" s="192">
        <f>'Rural enrl'!AJ16/'[1]Cl Enr'!AL17*100</f>
        <v>0</v>
      </c>
      <c r="AZ16" s="192">
        <f>('Rural enrl'!V16+'Rural enrl'!AH16)/('[1]Cl Enr'!X17+'[1]Cl Enr'!AJ17)*100</f>
        <v>0</v>
      </c>
      <c r="BA16" s="192">
        <f>('Rural enrl'!W16+'Rural enrl'!AI16)/('[1]Cl Enr'!Y17+'[1]Cl Enr'!AK17)*100</f>
        <v>0</v>
      </c>
      <c r="BB16" s="192">
        <f>('Rural enrl'!X16+'Rural enrl'!AJ16)/('[1]Cl Enr'!Z17+'[1]Cl Enr'!AL17)*100</f>
        <v>0</v>
      </c>
      <c r="BC16" s="191">
        <f>'Rural enrl'!AT16/'[1]Cl Enr'!AV17*100</f>
        <v>0</v>
      </c>
      <c r="BD16" s="191">
        <f>'Rural enrl'!AU16/'[1]Cl Enr'!AW17*100</f>
        <v>0</v>
      </c>
      <c r="BE16" s="191">
        <f>'Rural enrl'!AV16/'[1]Cl Enr'!AX17*100</f>
        <v>0</v>
      </c>
      <c r="BF16" s="191">
        <f>'Rural enrl'!AW16/'[1]Cl Enr'!AY17*100</f>
        <v>0</v>
      </c>
      <c r="BG16" s="191">
        <f>'Rural enrl'!AX16/'[1]Cl Enr'!AZ17*100</f>
        <v>0</v>
      </c>
      <c r="BH16" s="191">
        <f>'Rural enrl'!AY16/'[1]Cl Enr'!BA17*100</f>
        <v>0</v>
      </c>
      <c r="BI16" s="191">
        <f>'Rural enrl'!BF16/'[1]Cl Enr'!BH17*100</f>
        <v>0</v>
      </c>
      <c r="BJ16" s="191">
        <f>'Rural enrl'!BG16/'[1]Cl Enr'!BI17*100</f>
        <v>0</v>
      </c>
      <c r="BK16" s="191">
        <f>'Rural enrl'!BH16/'[1]Cl Enr'!BJ17*100</f>
        <v>0</v>
      </c>
      <c r="BL16" s="191">
        <f>'Rural enrl'!BI16/'[1]Cl Enr'!BK17*100</f>
        <v>0</v>
      </c>
      <c r="BM16" s="191">
        <f>'Rural enrl'!BJ16/'[1]Cl Enr'!BL17*100</f>
        <v>0</v>
      </c>
      <c r="BN16" s="191">
        <f>'Rural enrl'!BK16/'[1]Cl Enr'!BM17*100</f>
        <v>0</v>
      </c>
    </row>
    <row r="17" spans="2:66" ht="21.95" customHeight="1">
      <c r="B17" s="169">
        <v>12</v>
      </c>
      <c r="C17" s="173" t="s">
        <v>25</v>
      </c>
      <c r="D17" s="192">
        <f>'[1]Cl Enr. sc'!U17/'[1]Cl Enr'!X18*100</f>
        <v>19.503894361543107</v>
      </c>
      <c r="E17" s="192">
        <f>'[1]Cl Enr. sc'!V17/'[1]Cl Enr'!Y18*100</f>
        <v>19.605918421855197</v>
      </c>
      <c r="F17" s="192">
        <f>'[1]Cl Enr. sc'!W17/'[1]Cl Enr'!Z18*100</f>
        <v>19.55321597284124</v>
      </c>
      <c r="G17" s="192">
        <f>'[1]Cl Enr. sc'!AG17/'[1]Cl Enr'!AJ18*100</f>
        <v>18.632199059914889</v>
      </c>
      <c r="H17" s="192">
        <f>'[1]Cl Enr. sc'!AH17/'[1]Cl Enr'!AK18*100</f>
        <v>18.125915059855679</v>
      </c>
      <c r="I17" s="192">
        <f>'[1]Cl Enr. sc'!AI17/'[1]Cl Enr'!AL18*100</f>
        <v>18.388684617706549</v>
      </c>
      <c r="J17" s="192">
        <f>('[1]Cl Enr. sc'!U17+'[1]Cl Enr. sc'!AG17)/('[1]Cl Enr'!X18+'[1]Cl Enr'!AJ18)*100</f>
        <v>19.197516344287621</v>
      </c>
      <c r="K17" s="192">
        <f>('[1]Cl Enr. sc'!V17+'[1]Cl Enr. sc'!AH17)/('[1]Cl Enr'!Y18+'[1]Cl Enr'!AK18)*100</f>
        <v>19.089037848648303</v>
      </c>
      <c r="L17" s="192">
        <f>('[1]Cl Enr. sc'!W17+'[1]Cl Enr. sc'!AI17)/('[1]Cl Enr'!Z18+'[1]Cl Enr'!AL18)*100</f>
        <v>19.145167480805338</v>
      </c>
      <c r="M17" s="192">
        <f>'[1]Cl Enr. sc'!AS17/'[1]Cl Enr'!AV18*100</f>
        <v>17.619377473486118</v>
      </c>
      <c r="N17" s="192">
        <f>'[1]Cl Enr. sc'!AT17/'[1]Cl Enr'!AW18*100</f>
        <v>16.873299409760449</v>
      </c>
      <c r="O17" s="192">
        <f>'[1]Cl Enr. sc'!AU17/'[1]Cl Enr'!AX18*100</f>
        <v>17.260540735546119</v>
      </c>
      <c r="P17" s="192">
        <f>'[1]Cl Enr. sc'!AV17/'[1]Cl Enr'!AY18*100</f>
        <v>18.940528907834292</v>
      </c>
      <c r="Q17" s="192">
        <f>'[1]Cl Enr. sc'!AW17/'[1]Cl Enr'!AZ18*100</f>
        <v>18.730165485962122</v>
      </c>
      <c r="R17" s="192">
        <f>'[1]Cl Enr. sc'!AX17/'[1]Cl Enr'!BA18*100</f>
        <v>18.839068058462438</v>
      </c>
      <c r="S17" s="192">
        <f>'[1]Cl Enr. sc'!BE17/'[1]Cl Enr'!BH18*100</f>
        <v>16.81934169960315</v>
      </c>
      <c r="T17" s="192">
        <f>'[1]Cl Enr. sc'!BF17/'[1]Cl Enr'!BI18*100</f>
        <v>15.378549056607618</v>
      </c>
      <c r="U17" s="192">
        <f>'[1]Cl Enr. sc'!BG17/'[1]Cl Enr'!BJ18*100</f>
        <v>16.103458226387009</v>
      </c>
      <c r="V17" s="192">
        <f>'[1]Cl Enr. sc'!BH17/'[1]Cl Enr'!BK18*100</f>
        <v>18.755346356027385</v>
      </c>
      <c r="W17" s="192">
        <f>'[1]Cl Enr. sc'!BI17/'[1]Cl Enr'!BL18*100</f>
        <v>18.42162971739392</v>
      </c>
      <c r="X17" s="192">
        <f>'[1]Cl Enr. sc'!BJ17/'[1]Cl Enr'!BM18*100</f>
        <v>18.593955512686595</v>
      </c>
      <c r="Y17" s="192">
        <f>'[1]Cl Enr. st'!U17/'[1]Cl Enr'!X18*100</f>
        <v>7.9988640263670678</v>
      </c>
      <c r="Z17" s="192">
        <f>'[1]Cl Enr. st'!V17/'[1]Cl Enr'!Y18*100</f>
        <v>8.0069557179145718</v>
      </c>
      <c r="AA17" s="192">
        <f>'[1]Cl Enr. st'!W17/'[1]Cl Enr'!Z18*100</f>
        <v>8.0027758023151101</v>
      </c>
      <c r="AB17" s="192">
        <f>'[1]Cl Enr. st'!AG17/'[1]Cl Enr'!AJ18*100</f>
        <v>7.6143623023907727</v>
      </c>
      <c r="AC17" s="192">
        <f>'[1]Cl Enr. st'!AH17/'[1]Cl Enr'!AK18*100</f>
        <v>7.4238267820812744</v>
      </c>
      <c r="AD17" s="192">
        <f>'[1]Cl Enr. st'!AI17/'[1]Cl Enr'!AL18*100</f>
        <v>7.5227177887509642</v>
      </c>
      <c r="AE17" s="192">
        <f>('[1]Cl Enr. st'!U17+'[1]Cl Enr. st'!AG17)/('[1]Cl Enr'!X18+'[1]Cl Enr'!AJ18)*100</f>
        <v>7.8637217632355219</v>
      </c>
      <c r="AF17" s="192">
        <f>('[1]Cl Enr. st'!V17+'[1]Cl Enr. st'!AH17)/('[1]Cl Enr'!Y18+'[1]Cl Enr'!AK18)*100</f>
        <v>7.8033021139120571</v>
      </c>
      <c r="AG17" s="192">
        <f>('[1]Cl Enr. st'!W17+'[1]Cl Enr. st'!AI17)/('[1]Cl Enr'!Z18+'[1]Cl Enr'!AL18)*100</f>
        <v>7.8345648325881996</v>
      </c>
      <c r="AH17" s="192">
        <f>'[1]Cl Enr. st'!AS17/'[1]Cl Enr'!AV18*100</f>
        <v>7.0659549015806666</v>
      </c>
      <c r="AI17" s="192">
        <f>'[1]Cl Enr. st'!AT17/'[1]Cl Enr'!AW18*100</f>
        <v>6.7443192472691686</v>
      </c>
      <c r="AJ17" s="192">
        <f>'[1]Cl Enr. st'!AU17/'[1]Cl Enr'!AX18*100</f>
        <v>6.9112597100051483</v>
      </c>
      <c r="AK17" s="192">
        <f>'[1]Cl Enr. st'!AV17/'[1]Cl Enr'!AY18*100</f>
        <v>7.7338117379156479</v>
      </c>
      <c r="AL17" s="192">
        <f>'[1]Cl Enr. st'!AW17/'[1]Cl Enr'!AZ18*100</f>
        <v>7.6317838170199961</v>
      </c>
      <c r="AM17" s="192">
        <f>'[1]Cl Enr. st'!AX17/'[1]Cl Enr'!BA18*100</f>
        <v>7.6846024247109623</v>
      </c>
      <c r="AN17" s="192">
        <f>'[1]Cl Enr. st'!BE17/'[1]Cl Enr'!BH18*100</f>
        <v>6.1114957055115955</v>
      </c>
      <c r="AO17" s="192">
        <f>'[1]Cl Enr. st'!BF17/'[1]Cl Enr'!BI18*100</f>
        <v>5.008466995021692</v>
      </c>
      <c r="AP17" s="192">
        <f>'[1]Cl Enr. st'!BG17/'[1]Cl Enr'!BJ18*100</f>
        <v>5.5634362549296563</v>
      </c>
      <c r="AQ17" s="192">
        <f>'[1]Cl Enr. st'!BH17/'[1]Cl Enr'!BK18*100</f>
        <v>7.5921813238003564</v>
      </c>
      <c r="AR17" s="192">
        <f>'[1]Cl Enr. st'!BI17/'[1]Cl Enr'!BL18*100</f>
        <v>7.3902922594586116</v>
      </c>
      <c r="AS17" s="192">
        <f>'[1]Cl Enr. st'!BJ17/'[1]Cl Enr'!BM18*100</f>
        <v>7.4945444589175567</v>
      </c>
      <c r="AT17" s="192">
        <f>'Rural enrl'!V17/'[1]Cl Enr'!X18*100</f>
        <v>0</v>
      </c>
      <c r="AU17" s="192">
        <f>'Rural enrl'!W17/'[1]Cl Enr'!Y18*100</f>
        <v>0</v>
      </c>
      <c r="AV17" s="192">
        <f>'Rural enrl'!X17/'[1]Cl Enr'!Z18*100</f>
        <v>0</v>
      </c>
      <c r="AW17" s="192">
        <f>'Rural enrl'!AH17/'[1]Cl Enr'!AJ18*100</f>
        <v>0</v>
      </c>
      <c r="AX17" s="192">
        <f>'Rural enrl'!AI17/'[1]Cl Enr'!AK18*100</f>
        <v>0</v>
      </c>
      <c r="AY17" s="192">
        <f>'Rural enrl'!AJ17/'[1]Cl Enr'!AL18*100</f>
        <v>0</v>
      </c>
      <c r="AZ17" s="192">
        <f>('Rural enrl'!V17+'Rural enrl'!AH17)/('[1]Cl Enr'!X18+'[1]Cl Enr'!AJ18)*100</f>
        <v>0</v>
      </c>
      <c r="BA17" s="192">
        <f>('Rural enrl'!W17+'Rural enrl'!AI17)/('[1]Cl Enr'!Y18+'[1]Cl Enr'!AK18)*100</f>
        <v>0</v>
      </c>
      <c r="BB17" s="192">
        <f>('Rural enrl'!X17+'Rural enrl'!AJ17)/('[1]Cl Enr'!Z18+'[1]Cl Enr'!AL18)*100</f>
        <v>0</v>
      </c>
      <c r="BC17" s="191">
        <f>'Rural enrl'!AT17/'[1]Cl Enr'!AV18*100</f>
        <v>0</v>
      </c>
      <c r="BD17" s="191">
        <f>'Rural enrl'!AU17/'[1]Cl Enr'!AW18*100</f>
        <v>0</v>
      </c>
      <c r="BE17" s="191">
        <f>'Rural enrl'!AV17/'[1]Cl Enr'!AX18*100</f>
        <v>0</v>
      </c>
      <c r="BF17" s="191">
        <f>'Rural enrl'!AW17/'[1]Cl Enr'!AY18*100</f>
        <v>0</v>
      </c>
      <c r="BG17" s="191">
        <f>'Rural enrl'!AX17/'[1]Cl Enr'!AZ18*100</f>
        <v>0</v>
      </c>
      <c r="BH17" s="191">
        <f>'Rural enrl'!AY17/'[1]Cl Enr'!BA18*100</f>
        <v>0</v>
      </c>
      <c r="BI17" s="191">
        <f>'Rural enrl'!BF17/'[1]Cl Enr'!BH18*100</f>
        <v>0</v>
      </c>
      <c r="BJ17" s="191">
        <f>'Rural enrl'!BG17/'[1]Cl Enr'!BI18*100</f>
        <v>0</v>
      </c>
      <c r="BK17" s="191">
        <f>'Rural enrl'!BH17/'[1]Cl Enr'!BJ18*100</f>
        <v>0</v>
      </c>
      <c r="BL17" s="191">
        <f>'Rural enrl'!BI17/'[1]Cl Enr'!BK18*100</f>
        <v>0</v>
      </c>
      <c r="BM17" s="191">
        <f>'Rural enrl'!BJ17/'[1]Cl Enr'!BL18*100</f>
        <v>0</v>
      </c>
      <c r="BN17" s="191">
        <f>'Rural enrl'!BK17/'[1]Cl Enr'!BM18*100</f>
        <v>0</v>
      </c>
    </row>
    <row r="18" spans="2:66" ht="21.95" customHeight="1">
      <c r="B18" s="169">
        <v>13</v>
      </c>
      <c r="C18" s="173" t="s">
        <v>53</v>
      </c>
      <c r="D18" s="192">
        <f>'[1]Cl Enr. sc'!U18/'[1]Cl Enr'!X19*100</f>
        <v>9.9117937060729258</v>
      </c>
      <c r="E18" s="192">
        <f>'[1]Cl Enr. sc'!V18/'[1]Cl Enr'!Y19*100</f>
        <v>9.7466616013555321</v>
      </c>
      <c r="F18" s="192">
        <f>'[1]Cl Enr. sc'!W18/'[1]Cl Enr'!Z19*100</f>
        <v>9.8307765770832951</v>
      </c>
      <c r="G18" s="192">
        <f>'[1]Cl Enr. sc'!AG18/'[1]Cl Enr'!AJ19*100</f>
        <v>10.251577624753441</v>
      </c>
      <c r="H18" s="192">
        <f>'[1]Cl Enr. sc'!AH18/'[1]Cl Enr'!AK19*100</f>
        <v>10.019041415077794</v>
      </c>
      <c r="I18" s="192">
        <f>'[1]Cl Enr. sc'!AI18/'[1]Cl Enr'!AL19*100</f>
        <v>10.139283955606263</v>
      </c>
      <c r="J18" s="192">
        <f>('[1]Cl Enr. sc'!U18+'[1]Cl Enr. sc'!AG18)/('[1]Cl Enr'!X19+'[1]Cl Enr'!AJ19)*100</f>
        <v>10.050754718064431</v>
      </c>
      <c r="K18" s="192">
        <f>('[1]Cl Enr. sc'!V18+'[1]Cl Enr. sc'!AH18)/('[1]Cl Enr'!Y19+'[1]Cl Enr'!AK19)*100</f>
        <v>9.8560299227585588</v>
      </c>
      <c r="L18" s="192">
        <f>('[1]Cl Enr. sc'!W18+'[1]Cl Enr. sc'!AI18)/('[1]Cl Enr'!Z19+'[1]Cl Enr'!AL19)*100</f>
        <v>9.9558275120006741</v>
      </c>
      <c r="M18" s="192">
        <f>'[1]Cl Enr. sc'!AS18/'[1]Cl Enr'!AV19*100</f>
        <v>9.4362901186807662</v>
      </c>
      <c r="N18" s="192">
        <f>'[1]Cl Enr. sc'!AT18/'[1]Cl Enr'!AW19*100</f>
        <v>9.5687718030107796</v>
      </c>
      <c r="O18" s="192">
        <f>'[1]Cl Enr. sc'!AU18/'[1]Cl Enr'!AX19*100</f>
        <v>9.5014476344677075</v>
      </c>
      <c r="P18" s="192">
        <f>'[1]Cl Enr. sc'!AV18/'[1]Cl Enr'!AY19*100</f>
        <v>9.9272003776635707</v>
      </c>
      <c r="Q18" s="192">
        <f>'[1]Cl Enr. sc'!AW18/'[1]Cl Enr'!AZ19*100</f>
        <v>9.7974655968629918</v>
      </c>
      <c r="R18" s="192">
        <f>'[1]Cl Enr. sc'!AX18/'[1]Cl Enr'!BA19*100</f>
        <v>9.8638417395151148</v>
      </c>
      <c r="S18" s="192">
        <f>'[1]Cl Enr. sc'!BE18/'[1]Cl Enr'!BH19*100</f>
        <v>9.9037172555139499</v>
      </c>
      <c r="T18" s="192">
        <f>'[1]Cl Enr. sc'!BF18/'[1]Cl Enr'!BI19*100</f>
        <v>11.1374844605948</v>
      </c>
      <c r="U18" s="192">
        <f>'[1]Cl Enr. sc'!BG18/'[1]Cl Enr'!BJ19*100</f>
        <v>10.574906126968733</v>
      </c>
      <c r="V18" s="192">
        <f>'[1]Cl Enr. sc'!BH18/'[1]Cl Enr'!BK19*100</f>
        <v>9.925186300370294</v>
      </c>
      <c r="W18" s="192">
        <f>'[1]Cl Enr. sc'!BI18/'[1]Cl Enr'!BL19*100</f>
        <v>9.9380994709601573</v>
      </c>
      <c r="X18" s="192">
        <f>'[1]Cl Enr. sc'!BJ18/'[1]Cl Enr'!BM19*100</f>
        <v>9.9315611448211332</v>
      </c>
      <c r="Y18" s="192">
        <f>'[1]Cl Enr. st'!U18/'[1]Cl Enr'!X19*100</f>
        <v>1.8367406414385008</v>
      </c>
      <c r="Z18" s="192">
        <f>'[1]Cl Enr. st'!V18/'[1]Cl Enr'!Y19*100</f>
        <v>1.7610641187703397</v>
      </c>
      <c r="AA18" s="192">
        <f>'[1]Cl Enr. st'!W18/'[1]Cl Enr'!Z19*100</f>
        <v>1.7996122186585337</v>
      </c>
      <c r="AB18" s="192">
        <f>'[1]Cl Enr. st'!AG18/'[1]Cl Enr'!AJ19*100</f>
        <v>1.5102378896680495</v>
      </c>
      <c r="AC18" s="192">
        <f>'[1]Cl Enr. st'!AH18/'[1]Cl Enr'!AK19*100</f>
        <v>1.5031443389371884</v>
      </c>
      <c r="AD18" s="192">
        <f>'[1]Cl Enr. st'!AI18/'[1]Cl Enr'!AL19*100</f>
        <v>1.5068123550385777</v>
      </c>
      <c r="AE18" s="192">
        <f>('[1]Cl Enr. st'!U18+'[1]Cl Enr. st'!AG18)/('[1]Cl Enr'!X19+'[1]Cl Enr'!AJ19)*100</f>
        <v>1.7032112119698457</v>
      </c>
      <c r="AF18" s="192">
        <f>('[1]Cl Enr. st'!V18+'[1]Cl Enr. st'!AH18)/('[1]Cl Enr'!Y19+'[1]Cl Enr'!AK19)*100</f>
        <v>1.6575019164488656</v>
      </c>
      <c r="AG18" s="192">
        <f>('[1]Cl Enr. st'!W18+'[1]Cl Enr. st'!AI18)/('[1]Cl Enr'!Z19+'[1]Cl Enr'!AL19)*100</f>
        <v>1.6809281960440441</v>
      </c>
      <c r="AH18" s="192">
        <f>'[1]Cl Enr. st'!AS18/'[1]Cl Enr'!AV19*100</f>
        <v>1.0079215562521744</v>
      </c>
      <c r="AI18" s="192">
        <f>'[1]Cl Enr. st'!AT18/'[1]Cl Enr'!AW19*100</f>
        <v>1.0610798579465099</v>
      </c>
      <c r="AJ18" s="192">
        <f>'[1]Cl Enr. st'!AU18/'[1]Cl Enr'!AX19*100</f>
        <v>1.0340660221787068</v>
      </c>
      <c r="AK18" s="192">
        <f>'[1]Cl Enr. st'!AV18/'[1]Cl Enr'!AY19*100</f>
        <v>1.5634048587870808</v>
      </c>
      <c r="AL18" s="192">
        <f>'[1]Cl Enr. st'!AW18/'[1]Cl Enr'!AZ19*100</f>
        <v>1.5359072480854219</v>
      </c>
      <c r="AM18" s="192">
        <f>'[1]Cl Enr. st'!AX18/'[1]Cl Enr'!BA19*100</f>
        <v>1.5499758372429542</v>
      </c>
      <c r="AN18" s="192">
        <f>'[1]Cl Enr. st'!BE18/'[1]Cl Enr'!BH19*100</f>
        <v>1.1971168146424744</v>
      </c>
      <c r="AO18" s="192">
        <f>'[1]Cl Enr. st'!BF18/'[1]Cl Enr'!BI19*100</f>
        <v>1.1905575060449993</v>
      </c>
      <c r="AP18" s="192">
        <f>'[1]Cl Enr. st'!BG18/'[1]Cl Enr'!BJ19*100</f>
        <v>1.1935484470307138</v>
      </c>
      <c r="AQ18" s="192">
        <f>'[1]Cl Enr. st'!BH18/'[1]Cl Enr'!BK19*100</f>
        <v>1.5319894265541107</v>
      </c>
      <c r="AR18" s="192">
        <f>'[1]Cl Enr. st'!BI18/'[1]Cl Enr'!BL19*100</f>
        <v>1.4996630776068474</v>
      </c>
      <c r="AS18" s="192">
        <f>'[1]Cl Enr. st'!BJ18/'[1]Cl Enr'!BM19*100</f>
        <v>1.5160308790565566</v>
      </c>
      <c r="AT18" s="192">
        <f>'Rural enrl'!V18/'[1]Cl Enr'!X19*100</f>
        <v>0</v>
      </c>
      <c r="AU18" s="192">
        <f>'Rural enrl'!W18/'[1]Cl Enr'!Y19*100</f>
        <v>0</v>
      </c>
      <c r="AV18" s="192">
        <f>'Rural enrl'!X18/'[1]Cl Enr'!Z19*100</f>
        <v>0</v>
      </c>
      <c r="AW18" s="192">
        <f>'Rural enrl'!AH18/'[1]Cl Enr'!AJ19*100</f>
        <v>0</v>
      </c>
      <c r="AX18" s="192">
        <f>'Rural enrl'!AI18/'[1]Cl Enr'!AK19*100</f>
        <v>0</v>
      </c>
      <c r="AY18" s="192">
        <f>'Rural enrl'!AJ18/'[1]Cl Enr'!AL19*100</f>
        <v>0</v>
      </c>
      <c r="AZ18" s="192">
        <f>('Rural enrl'!V18+'Rural enrl'!AH18)/('[1]Cl Enr'!X19+'[1]Cl Enr'!AJ19)*100</f>
        <v>0</v>
      </c>
      <c r="BA18" s="192">
        <f>('Rural enrl'!W18+'Rural enrl'!AI18)/('[1]Cl Enr'!Y19+'[1]Cl Enr'!AK19)*100</f>
        <v>0</v>
      </c>
      <c r="BB18" s="192">
        <f>('Rural enrl'!X18+'Rural enrl'!AJ18)/('[1]Cl Enr'!Z19+'[1]Cl Enr'!AL19)*100</f>
        <v>0</v>
      </c>
      <c r="BC18" s="191">
        <f>'Rural enrl'!AT18/'[1]Cl Enr'!AV19*100</f>
        <v>0</v>
      </c>
      <c r="BD18" s="191">
        <f>'Rural enrl'!AU18/'[1]Cl Enr'!AW19*100</f>
        <v>0</v>
      </c>
      <c r="BE18" s="191">
        <f>'Rural enrl'!AV18/'[1]Cl Enr'!AX19*100</f>
        <v>0</v>
      </c>
      <c r="BF18" s="191">
        <f>'Rural enrl'!AW18/'[1]Cl Enr'!AY19*100</f>
        <v>0</v>
      </c>
      <c r="BG18" s="191">
        <f>'Rural enrl'!AX18/'[1]Cl Enr'!AZ19*100</f>
        <v>0</v>
      </c>
      <c r="BH18" s="191">
        <f>'Rural enrl'!AY18/'[1]Cl Enr'!BA19*100</f>
        <v>0</v>
      </c>
      <c r="BI18" s="191">
        <f>'Rural enrl'!BF18/'[1]Cl Enr'!BH19*100</f>
        <v>0</v>
      </c>
      <c r="BJ18" s="191">
        <f>'Rural enrl'!BG18/'[1]Cl Enr'!BI19*100</f>
        <v>0</v>
      </c>
      <c r="BK18" s="191">
        <f>'Rural enrl'!BH18/'[1]Cl Enr'!BJ19*100</f>
        <v>0</v>
      </c>
      <c r="BL18" s="191">
        <f>'Rural enrl'!BI18/'[1]Cl Enr'!BK19*100</f>
        <v>0</v>
      </c>
      <c r="BM18" s="191">
        <f>'Rural enrl'!BJ18/'[1]Cl Enr'!BL19*100</f>
        <v>0</v>
      </c>
      <c r="BN18" s="191">
        <f>'Rural enrl'!BK18/'[1]Cl Enr'!BM19*100</f>
        <v>0</v>
      </c>
    </row>
    <row r="19" spans="2:66" ht="21.95" customHeight="1">
      <c r="B19" s="169">
        <v>14</v>
      </c>
      <c r="C19" s="173" t="s">
        <v>27</v>
      </c>
      <c r="D19" s="192">
        <f>'[1]Cl Enr. sc'!U19/'[1]Cl Enr'!X20*100</f>
        <v>16.670283967080767</v>
      </c>
      <c r="E19" s="192">
        <f>'[1]Cl Enr. sc'!V19/'[1]Cl Enr'!Y20*100</f>
        <v>17.75608455143411</v>
      </c>
      <c r="F19" s="192">
        <f>'[1]Cl Enr. sc'!W19/'[1]Cl Enr'!Z20*100</f>
        <v>17.192667443676658</v>
      </c>
      <c r="G19" s="192">
        <f>'[1]Cl Enr. sc'!AG19/'[1]Cl Enr'!AJ20*100</f>
        <v>15.777820381398042</v>
      </c>
      <c r="H19" s="192">
        <f>'[1]Cl Enr. sc'!AH19/'[1]Cl Enr'!AK20*100</f>
        <v>16.977513964602913</v>
      </c>
      <c r="I19" s="192">
        <f>'[1]Cl Enr. sc'!AI19/'[1]Cl Enr'!AL20*100</f>
        <v>16.346841101642188</v>
      </c>
      <c r="J19" s="192">
        <f>('[1]Cl Enr. sc'!U19+'[1]Cl Enr. sc'!AG19)/('[1]Cl Enr'!X20+'[1]Cl Enr'!AJ20)*100</f>
        <v>16.389111111385038</v>
      </c>
      <c r="K19" s="192">
        <f>('[1]Cl Enr. sc'!V19+'[1]Cl Enr. sc'!AH19)/('[1]Cl Enr'!Y20+'[1]Cl Enr'!AK20)*100</f>
        <v>17.515349392259267</v>
      </c>
      <c r="L19" s="192">
        <f>('[1]Cl Enr. sc'!W19+'[1]Cl Enr. sc'!AI19)/('[1]Cl Enr'!Z20+'[1]Cl Enr'!AL20)*100</f>
        <v>16.928558216723484</v>
      </c>
      <c r="M19" s="192">
        <f>'[1]Cl Enr. sc'!AS19/'[1]Cl Enr'!AV20*100</f>
        <v>22.127538035551428</v>
      </c>
      <c r="N19" s="192">
        <f>'[1]Cl Enr. sc'!AT19/'[1]Cl Enr'!AW20*100</f>
        <v>20.153245492094953</v>
      </c>
      <c r="O19" s="192">
        <f>'[1]Cl Enr. sc'!AU19/'[1]Cl Enr'!AX20*100</f>
        <v>21.372882122959286</v>
      </c>
      <c r="P19" s="192">
        <f>'[1]Cl Enr. sc'!AV19/'[1]Cl Enr'!AY20*100</f>
        <v>17.136554364632566</v>
      </c>
      <c r="Q19" s="192">
        <f>'[1]Cl Enr. sc'!AW19/'[1]Cl Enr'!AZ20*100</f>
        <v>17.756893230373638</v>
      </c>
      <c r="R19" s="192">
        <f>'[1]Cl Enr. sc'!AX19/'[1]Cl Enr'!BA20*100</f>
        <v>17.42695524588428</v>
      </c>
      <c r="S19" s="192">
        <f>'[1]Cl Enr. sc'!BE19/'[1]Cl Enr'!BH20*100</f>
        <v>16.73786752010669</v>
      </c>
      <c r="T19" s="192">
        <f>'[1]Cl Enr. sc'!BF19/'[1]Cl Enr'!BI20*100</f>
        <v>15.843898495356894</v>
      </c>
      <c r="U19" s="192">
        <f>'[1]Cl Enr. sc'!BG19/'[1]Cl Enr'!BJ20*100</f>
        <v>16.401851640829243</v>
      </c>
      <c r="V19" s="192">
        <f>'[1]Cl Enr. sc'!BH19/'[1]Cl Enr'!BK20*100</f>
        <v>17.106668693791057</v>
      </c>
      <c r="W19" s="192">
        <f>'[1]Cl Enr. sc'!BI19/'[1]Cl Enr'!BL20*100</f>
        <v>17.656398083480941</v>
      </c>
      <c r="X19" s="192">
        <f>'[1]Cl Enr. sc'!BJ19/'[1]Cl Enr'!BM20*100</f>
        <v>17.360738740540722</v>
      </c>
      <c r="Y19" s="192">
        <f>'[1]Cl Enr. st'!U19/'[1]Cl Enr'!X20*100</f>
        <v>24.799869705199015</v>
      </c>
      <c r="Z19" s="192">
        <f>'[1]Cl Enr. st'!V19/'[1]Cl Enr'!Y20*100</f>
        <v>26.570471206871353</v>
      </c>
      <c r="AA19" s="192">
        <f>'[1]Cl Enr. st'!W19/'[1]Cl Enr'!Z20*100</f>
        <v>25.65171394016998</v>
      </c>
      <c r="AB19" s="192">
        <f>'[1]Cl Enr. st'!AG19/'[1]Cl Enr'!AJ20*100</f>
        <v>17.16733310901223</v>
      </c>
      <c r="AC19" s="192">
        <f>'[1]Cl Enr. st'!AH19/'[1]Cl Enr'!AK20*100</f>
        <v>18.351532886471823</v>
      </c>
      <c r="AD19" s="192">
        <f>'[1]Cl Enr. st'!AI19/'[1]Cl Enr'!AL20*100</f>
        <v>17.729005039008662</v>
      </c>
      <c r="AE19" s="192">
        <f>('[1]Cl Enr. st'!U19+'[1]Cl Enr. st'!AG19)/('[1]Cl Enr'!X20+'[1]Cl Enr'!AJ20)*100</f>
        <v>22.395220209824604</v>
      </c>
      <c r="AF19" s="192">
        <f>('[1]Cl Enr. st'!V19+'[1]Cl Enr. st'!AH19)/('[1]Cl Enr'!Y20+'[1]Cl Enr'!AK20)*100</f>
        <v>24.029163510079847</v>
      </c>
      <c r="AG19" s="192">
        <f>('[1]Cl Enr. st'!W19+'[1]Cl Enr. st'!AI19)/('[1]Cl Enr'!Z20+'[1]Cl Enr'!AL20)*100</f>
        <v>23.177848538641168</v>
      </c>
      <c r="AH19" s="192">
        <f>'[1]Cl Enr. st'!AS19/'[1]Cl Enr'!AV20*100</f>
        <v>14.432438127409631</v>
      </c>
      <c r="AI19" s="192">
        <f>'[1]Cl Enr. st'!AT19/'[1]Cl Enr'!AW20*100</f>
        <v>13.375990209315782</v>
      </c>
      <c r="AJ19" s="192">
        <f>'[1]Cl Enr. st'!AU19/'[1]Cl Enr'!AX20*100</f>
        <v>14.028620227991647</v>
      </c>
      <c r="AK19" s="192">
        <f>'[1]Cl Enr. st'!AV19/'[1]Cl Enr'!AY20*100</f>
        <v>21.35804960135755</v>
      </c>
      <c r="AL19" s="192">
        <f>'[1]Cl Enr. st'!AW19/'[1]Cl Enr'!AZ20*100</f>
        <v>23.053685981861666</v>
      </c>
      <c r="AM19" s="192">
        <f>'[1]Cl Enr. st'!AX19/'[1]Cl Enr'!BA20*100</f>
        <v>22.151832364900198</v>
      </c>
      <c r="AN19" s="192">
        <f>'[1]Cl Enr. st'!BE19/'[1]Cl Enr'!BH20*100</f>
        <v>11.619873439325362</v>
      </c>
      <c r="AO19" s="192">
        <f>'[1]Cl Enr. st'!BF19/'[1]Cl Enr'!BI20*100</f>
        <v>10.872798451638982</v>
      </c>
      <c r="AP19" s="192">
        <f>'[1]Cl Enr. st'!BG19/'[1]Cl Enr'!BJ20*100</f>
        <v>11.339070579356154</v>
      </c>
      <c r="AQ19" s="192">
        <f>'[1]Cl Enr. st'!BH19/'[1]Cl Enr'!BK20*100</f>
        <v>20.628073352150679</v>
      </c>
      <c r="AR19" s="192">
        <f>'[1]Cl Enr. st'!BI19/'[1]Cl Enr'!BL20*100</f>
        <v>22.413788725885979</v>
      </c>
      <c r="AS19" s="192">
        <f>'[1]Cl Enr. st'!BJ19/'[1]Cl Enr'!BM20*100</f>
        <v>21.453382671600494</v>
      </c>
      <c r="AT19" s="192">
        <f>'Rural enrl'!V19/'[1]Cl Enr'!X20*100</f>
        <v>0</v>
      </c>
      <c r="AU19" s="192">
        <f>'Rural enrl'!W19/'[1]Cl Enr'!Y20*100</f>
        <v>0</v>
      </c>
      <c r="AV19" s="192">
        <f>'Rural enrl'!X19/'[1]Cl Enr'!Z20*100</f>
        <v>0</v>
      </c>
      <c r="AW19" s="192">
        <f>'Rural enrl'!AH19/'[1]Cl Enr'!AJ20*100</f>
        <v>0</v>
      </c>
      <c r="AX19" s="192">
        <f>'Rural enrl'!AI19/'[1]Cl Enr'!AK20*100</f>
        <v>0</v>
      </c>
      <c r="AY19" s="192">
        <f>'Rural enrl'!AJ19/'[1]Cl Enr'!AL20*100</f>
        <v>0</v>
      </c>
      <c r="AZ19" s="192">
        <f>('Rural enrl'!V19+'Rural enrl'!AH19)/('[1]Cl Enr'!X20+'[1]Cl Enr'!AJ20)*100</f>
        <v>0</v>
      </c>
      <c r="BA19" s="192">
        <f>('Rural enrl'!W19+'Rural enrl'!AI19)/('[1]Cl Enr'!Y20+'[1]Cl Enr'!AK20)*100</f>
        <v>0</v>
      </c>
      <c r="BB19" s="192">
        <f>('Rural enrl'!X19+'Rural enrl'!AJ19)/('[1]Cl Enr'!Z20+'[1]Cl Enr'!AL20)*100</f>
        <v>0</v>
      </c>
      <c r="BC19" s="191">
        <f>'Rural enrl'!AT19/'[1]Cl Enr'!AV20*100</f>
        <v>0</v>
      </c>
      <c r="BD19" s="191">
        <f>'Rural enrl'!AU19/'[1]Cl Enr'!AW20*100</f>
        <v>0</v>
      </c>
      <c r="BE19" s="191">
        <f>'Rural enrl'!AV19/'[1]Cl Enr'!AX20*100</f>
        <v>0</v>
      </c>
      <c r="BF19" s="191">
        <f>'Rural enrl'!AW19/'[1]Cl Enr'!AY20*100</f>
        <v>0</v>
      </c>
      <c r="BG19" s="191">
        <f>'Rural enrl'!AX19/'[1]Cl Enr'!AZ20*100</f>
        <v>0</v>
      </c>
      <c r="BH19" s="191">
        <f>'Rural enrl'!AY19/'[1]Cl Enr'!BA20*100</f>
        <v>0</v>
      </c>
      <c r="BI19" s="191">
        <f>'Rural enrl'!BF19/'[1]Cl Enr'!BH20*100</f>
        <v>0</v>
      </c>
      <c r="BJ19" s="191">
        <f>'Rural enrl'!BG19/'[1]Cl Enr'!BI20*100</f>
        <v>0</v>
      </c>
      <c r="BK19" s="191">
        <f>'Rural enrl'!BH19/'[1]Cl Enr'!BJ20*100</f>
        <v>0</v>
      </c>
      <c r="BL19" s="191">
        <f>'Rural enrl'!BI19/'[1]Cl Enr'!BK20*100</f>
        <v>0</v>
      </c>
      <c r="BM19" s="191">
        <f>'Rural enrl'!BJ19/'[1]Cl Enr'!BL20*100</f>
        <v>0</v>
      </c>
      <c r="BN19" s="191">
        <f>'Rural enrl'!BK19/'[1]Cl Enr'!BM20*100</f>
        <v>0</v>
      </c>
    </row>
    <row r="20" spans="2:66" ht="21.95" customHeight="1">
      <c r="B20" s="169">
        <v>15</v>
      </c>
      <c r="C20" s="173" t="s">
        <v>28</v>
      </c>
      <c r="D20" s="192">
        <f>'[1]Cl Enr. sc'!U20/'[1]Cl Enr'!X21*100</f>
        <v>14.235546416506159</v>
      </c>
      <c r="E20" s="192">
        <f>'[1]Cl Enr. sc'!V20/'[1]Cl Enr'!Y21*100</f>
        <v>14.783517515620801</v>
      </c>
      <c r="F20" s="192">
        <f>'[1]Cl Enr. sc'!W20/'[1]Cl Enr'!Z21*100</f>
        <v>14.493579297144352</v>
      </c>
      <c r="G20" s="192">
        <f>'[1]Cl Enr. sc'!AG20/'[1]Cl Enr'!AJ21*100</f>
        <v>14.375669425096021</v>
      </c>
      <c r="H20" s="192">
        <f>'[1]Cl Enr. sc'!AH20/'[1]Cl Enr'!AK21*100</f>
        <v>14.717168540838218</v>
      </c>
      <c r="I20" s="192">
        <f>'[1]Cl Enr. sc'!AI20/'[1]Cl Enr'!AL21*100</f>
        <v>14.535703908752337</v>
      </c>
      <c r="J20" s="192">
        <f>('[1]Cl Enr. sc'!U20+'[1]Cl Enr. sc'!AG20)/('[1]Cl Enr'!X21+'[1]Cl Enr'!AJ21)*100</f>
        <v>14.284357989913946</v>
      </c>
      <c r="K20" s="192">
        <f>('[1]Cl Enr. sc'!V20+'[1]Cl Enr. sc'!AH20)/('[1]Cl Enr'!Y21+'[1]Cl Enr'!AK21)*100</f>
        <v>14.760541708561695</v>
      </c>
      <c r="L20" s="192">
        <f>('[1]Cl Enr. sc'!W20+'[1]Cl Enr. sc'!AI20)/('[1]Cl Enr'!Z21+'[1]Cl Enr'!AL21)*100</f>
        <v>14.508212514151364</v>
      </c>
      <c r="M20" s="192">
        <f>'[1]Cl Enr. sc'!AS20/'[1]Cl Enr'!AV21*100</f>
        <v>14.859973948922271</v>
      </c>
      <c r="N20" s="192">
        <f>'[1]Cl Enr. sc'!AT20/'[1]Cl Enr'!AW21*100</f>
        <v>14.590054770228106</v>
      </c>
      <c r="O20" s="192">
        <f>'[1]Cl Enr. sc'!AU20/'[1]Cl Enr'!AX21*100</f>
        <v>14.73661589706396</v>
      </c>
      <c r="P20" s="192">
        <f>'[1]Cl Enr. sc'!AV20/'[1]Cl Enr'!AY21*100</f>
        <v>14.379072898909314</v>
      </c>
      <c r="Q20" s="192">
        <f>'[1]Cl Enr. sc'!AW20/'[1]Cl Enr'!AZ21*100</f>
        <v>14.733700312215683</v>
      </c>
      <c r="R20" s="192">
        <f>'[1]Cl Enr. sc'!AX20/'[1]Cl Enr'!BA21*100</f>
        <v>14.545035684645901</v>
      </c>
      <c r="S20" s="192">
        <f>'[1]Cl Enr. sc'!BE20/'[1]Cl Enr'!BH21*100</f>
        <v>14.859964102807034</v>
      </c>
      <c r="T20" s="192">
        <f>'[1]Cl Enr. sc'!BF20/'[1]Cl Enr'!BI21*100</f>
        <v>14.589992668443246</v>
      </c>
      <c r="U20" s="192">
        <f>'[1]Cl Enr. sc'!BG20/'[1]Cl Enr'!BJ21*100</f>
        <v>14.742322365607457</v>
      </c>
      <c r="V20" s="192">
        <f>'[1]Cl Enr. sc'!BH20/'[1]Cl Enr'!BK21*100</f>
        <v>14.435157286098876</v>
      </c>
      <c r="W20" s="192">
        <f>'[1]Cl Enr. sc'!BI20/'[1]Cl Enr'!BL21*100</f>
        <v>14.718773768743082</v>
      </c>
      <c r="X20" s="192">
        <f>'[1]Cl Enr. sc'!BJ20/'[1]Cl Enr'!BM21*100</f>
        <v>14.566875435914417</v>
      </c>
      <c r="Y20" s="192">
        <f>'[1]Cl Enr. st'!U20/'[1]Cl Enr'!X21*100</f>
        <v>12.620239493420959</v>
      </c>
      <c r="Z20" s="192">
        <f>'[1]Cl Enr. st'!V20/'[1]Cl Enr'!Y21*100</f>
        <v>12.869846611286315</v>
      </c>
      <c r="AA20" s="192">
        <f>'[1]Cl Enr. st'!W20/'[1]Cl Enr'!Z21*100</f>
        <v>12.737776428771486</v>
      </c>
      <c r="AB20" s="192">
        <f>'[1]Cl Enr. st'!AG20/'[1]Cl Enr'!AJ21*100</f>
        <v>9.6670441598842949</v>
      </c>
      <c r="AC20" s="192">
        <f>'[1]Cl Enr. st'!AH20/'[1]Cl Enr'!AK21*100</f>
        <v>9.3917828861893806</v>
      </c>
      <c r="AD20" s="192">
        <f>'[1]Cl Enr. st'!AI20/'[1]Cl Enr'!AL21*100</f>
        <v>9.5380502803229774</v>
      </c>
      <c r="AE20" s="192">
        <f>('[1]Cl Enr. st'!U20+'[1]Cl Enr. st'!AG20)/('[1]Cl Enr'!X21+'[1]Cl Enr'!AJ21)*100</f>
        <v>11.591499729258576</v>
      </c>
      <c r="AF20" s="192">
        <f>('[1]Cl Enr. st'!V20+'[1]Cl Enr. st'!AH20)/('[1]Cl Enr'!Y21+'[1]Cl Enr'!AK21)*100</f>
        <v>11.665437329169077</v>
      </c>
      <c r="AG20" s="192">
        <f>('[1]Cl Enr. st'!W20+'[1]Cl Enr. st'!AI20)/('[1]Cl Enr'!Z21+'[1]Cl Enr'!AL21)*100</f>
        <v>11.626257881633512</v>
      </c>
      <c r="AH20" s="192">
        <f>'[1]Cl Enr. st'!AS20/'[1]Cl Enr'!AV21*100</f>
        <v>7.000005429821667</v>
      </c>
      <c r="AI20" s="192">
        <f>'[1]Cl Enr. st'!AT20/'[1]Cl Enr'!AW21*100</f>
        <v>5.4300011253665508</v>
      </c>
      <c r="AJ20" s="192">
        <f>'[1]Cl Enr. st'!AU20/'[1]Cl Enr'!AX21*100</f>
        <v>6.2824844543070304</v>
      </c>
      <c r="AK20" s="192">
        <f>'[1]Cl Enr. st'!AV20/'[1]Cl Enr'!AY21*100</f>
        <v>10.835990855819528</v>
      </c>
      <c r="AL20" s="192">
        <f>'[1]Cl Enr. st'!AW20/'[1]Cl Enr'!AZ21*100</f>
        <v>10.683732711956488</v>
      </c>
      <c r="AM20" s="192">
        <f>'[1]Cl Enr. st'!AX20/'[1]Cl Enr'!BA21*100</f>
        <v>10.764735265421157</v>
      </c>
      <c r="AN20" s="192">
        <f>'[1]Cl Enr. st'!BE20/'[1]Cl Enr'!BH21*100</f>
        <v>7.000027821452445</v>
      </c>
      <c r="AO20" s="192">
        <f>'[1]Cl Enr. st'!BF20/'[1]Cl Enr'!BI21*100</f>
        <v>7.0000301830357712</v>
      </c>
      <c r="AP20" s="192">
        <f>'[1]Cl Enr. st'!BG20/'[1]Cl Enr'!BJ21*100</f>
        <v>7.0000288505271167</v>
      </c>
      <c r="AQ20" s="192">
        <f>'[1]Cl Enr. st'!BH20/'[1]Cl Enr'!BK21*100</f>
        <v>10.388618073118241</v>
      </c>
      <c r="AR20" s="192">
        <f>'[1]Cl Enr. st'!BI20/'[1]Cl Enr'!BL21*100</f>
        <v>10.301116001427554</v>
      </c>
      <c r="AS20" s="192">
        <f>'[1]Cl Enr. st'!BJ20/'[1]Cl Enr'!BM21*100</f>
        <v>10.347980057722701</v>
      </c>
      <c r="AT20" s="192">
        <f>'Rural enrl'!V20/'[1]Cl Enr'!X21*100</f>
        <v>57.190701436628665</v>
      </c>
      <c r="AU20" s="192">
        <f>'Rural enrl'!W20/'[1]Cl Enr'!Y21*100</f>
        <v>57.883115275929221</v>
      </c>
      <c r="AV20" s="192">
        <f>'Rural enrl'!X20/'[1]Cl Enr'!Z21*100</f>
        <v>57.51675063491146</v>
      </c>
      <c r="AW20" s="192">
        <f>'Rural enrl'!AH20/'[1]Cl Enr'!AJ21*100</f>
        <v>58.215287110880674</v>
      </c>
      <c r="AX20" s="192">
        <f>'Rural enrl'!AI20/'[1]Cl Enr'!AK21*100</f>
        <v>58.423715551388575</v>
      </c>
      <c r="AY20" s="192">
        <f>'Rural enrl'!AJ20/'[1]Cl Enr'!AL21*100</f>
        <v>58.312961559564037</v>
      </c>
      <c r="AZ20" s="192">
        <f>('Rural enrl'!V20+'Rural enrl'!AH20)/('[1]Cl Enr'!X21+'[1]Cl Enr'!AJ21)*100</f>
        <v>57.547613833490644</v>
      </c>
      <c r="BA20" s="192">
        <f>('Rural enrl'!W20+'Rural enrl'!AI20)/('[1]Cl Enr'!Y21+'[1]Cl Enr'!AK21)*100</f>
        <v>58.070318283447499</v>
      </c>
      <c r="BB20" s="192">
        <f>('Rural enrl'!X20+'Rural enrl'!AJ20)/('[1]Cl Enr'!Z21+'[1]Cl Enr'!AL21)*100</f>
        <v>57.793337808040114</v>
      </c>
      <c r="BC20" s="191">
        <f>'Rural enrl'!AT20/'[1]Cl Enr'!AV21*100</f>
        <v>56.96625003846124</v>
      </c>
      <c r="BD20" s="191">
        <f>'Rural enrl'!AU20/'[1]Cl Enr'!AW21*100</f>
        <v>59.006838931374858</v>
      </c>
      <c r="BE20" s="191">
        <f>'Rural enrl'!AV20/'[1]Cl Enr'!AX21*100</f>
        <v>57.898836865715744</v>
      </c>
      <c r="BF20" s="191">
        <f>'Rural enrl'!AW20/'[1]Cl Enr'!AY21*100</f>
        <v>57.451953145009597</v>
      </c>
      <c r="BG20" s="191">
        <f>'Rural enrl'!AX20/'[1]Cl Enr'!AZ21*100</f>
        <v>58.217763724974837</v>
      </c>
      <c r="BH20" s="191">
        <f>'Rural enrl'!AY20/'[1]Cl Enr'!BA21*100</f>
        <v>57.810346355541753</v>
      </c>
      <c r="BI20" s="191">
        <f>'Rural enrl'!BF20/'[1]Cl Enr'!BH21*100</f>
        <v>55.054368381596028</v>
      </c>
      <c r="BJ20" s="191">
        <f>'Rural enrl'!BG20/'[1]Cl Enr'!BI21*100</f>
        <v>57.395379269317381</v>
      </c>
      <c r="BK20" s="191">
        <f>'Rural enrl'!BH20/'[1]Cl Enr'!BJ21*100</f>
        <v>56.074478484295135</v>
      </c>
      <c r="BL20" s="191">
        <f>'Rural enrl'!BI20/'[1]Cl Enr'!BK21*100</f>
        <v>57.172332575739034</v>
      </c>
      <c r="BM20" s="191">
        <f>'Rural enrl'!BJ20/'[1]Cl Enr'!BL21*100</f>
        <v>58.132344765994461</v>
      </c>
      <c r="BN20" s="191">
        <f>'Rural enrl'!BK20/'[1]Cl Enr'!BM21*100</f>
        <v>57.618184764306804</v>
      </c>
    </row>
    <row r="21" spans="2:66" ht="21.95" customHeight="1">
      <c r="B21" s="169">
        <v>16</v>
      </c>
      <c r="C21" s="173" t="s">
        <v>29</v>
      </c>
      <c r="D21" s="192">
        <f>'[1]Cl Enr. sc'!U21/'[1]Cl Enr'!X22*100</f>
        <v>2.5479695867355701</v>
      </c>
      <c r="E21" s="192">
        <f>'[1]Cl Enr. sc'!V21/'[1]Cl Enr'!Y22*100</f>
        <v>2.4545140552404936</v>
      </c>
      <c r="F21" s="192">
        <f>'[1]Cl Enr. sc'!W21/'[1]Cl Enr'!Z22*100</f>
        <v>2.5028318969808345</v>
      </c>
      <c r="G21" s="192">
        <f>'[1]Cl Enr. sc'!AG21/'[1]Cl Enr'!AJ22*100</f>
        <v>3.5079980799418791</v>
      </c>
      <c r="H21" s="192">
        <f>'[1]Cl Enr. sc'!AH21/'[1]Cl Enr'!AK22*100</f>
        <v>3.4759204352456892</v>
      </c>
      <c r="I21" s="192">
        <f>'[1]Cl Enr. sc'!AI21/'[1]Cl Enr'!AL22*100</f>
        <v>3.4927912990672696</v>
      </c>
      <c r="J21" s="192">
        <f>('[1]Cl Enr. sc'!U21+'[1]Cl Enr. sc'!AG21)/('[1]Cl Enr'!X22+'[1]Cl Enr'!AJ22)*100</f>
        <v>2.8228232689779151</v>
      </c>
      <c r="K21" s="192">
        <f>('[1]Cl Enr. sc'!V21+'[1]Cl Enr. sc'!AH21)/('[1]Cl Enr'!Y22+'[1]Cl Enr'!AK22)*100</f>
        <v>2.7395334639976867</v>
      </c>
      <c r="L21" s="192">
        <f>('[1]Cl Enr. sc'!W21+'[1]Cl Enr. sc'!AI21)/('[1]Cl Enr'!Z22+'[1]Cl Enr'!AL22)*100</f>
        <v>2.7828056918130981</v>
      </c>
      <c r="M21" s="192">
        <f>'[1]Cl Enr. sc'!AS21/'[1]Cl Enr'!AV22*100</f>
        <v>4.3193069306930694</v>
      </c>
      <c r="N21" s="192">
        <f>'[1]Cl Enr. sc'!AT21/'[1]Cl Enr'!AW22*100</f>
        <v>4.099910438849637</v>
      </c>
      <c r="O21" s="192">
        <f>'[1]Cl Enr. sc'!AU21/'[1]Cl Enr'!AX22*100</f>
        <v>4.2098863467169592</v>
      </c>
      <c r="P21" s="192">
        <f>'[1]Cl Enr. sc'!AV21/'[1]Cl Enr'!AY22*100</f>
        <v>3.0180794098839274</v>
      </c>
      <c r="Q21" s="192">
        <f>'[1]Cl Enr. sc'!AW21/'[1]Cl Enr'!AZ22*100</f>
        <v>2.9286257694169722</v>
      </c>
      <c r="R21" s="192">
        <f>'[1]Cl Enr. sc'!AX21/'[1]Cl Enr'!BA22*100</f>
        <v>2.9748803468188787</v>
      </c>
      <c r="S21" s="192">
        <f>'[1]Cl Enr. sc'!BE21/'[1]Cl Enr'!BH22*100</f>
        <v>2.7257709251101323</v>
      </c>
      <c r="T21" s="192">
        <f>'[1]Cl Enr. sc'!BF21/'[1]Cl Enr'!BI22*100</f>
        <v>3.4208831317540973</v>
      </c>
      <c r="U21" s="192">
        <f>'[1]Cl Enr. sc'!BG21/'[1]Cl Enr'!BJ22*100</f>
        <v>3.0280397099554976</v>
      </c>
      <c r="V21" s="192">
        <f>'[1]Cl Enr. sc'!BH21/'[1]Cl Enr'!BK22*100</f>
        <v>3.0018853304209352</v>
      </c>
      <c r="W21" s="192">
        <f>'[1]Cl Enr. sc'!BI21/'[1]Cl Enr'!BL22*100</f>
        <v>2.9513150125514183</v>
      </c>
      <c r="X21" s="192">
        <f>'[1]Cl Enr. sc'!BJ21/'[1]Cl Enr'!BM22*100</f>
        <v>2.9775876579173843</v>
      </c>
      <c r="Y21" s="192">
        <f>'[1]Cl Enr. st'!U21/'[1]Cl Enr'!X22*100</f>
        <v>37.847964902967945</v>
      </c>
      <c r="Z21" s="192">
        <f>'[1]Cl Enr. st'!V21/'[1]Cl Enr'!Y22*100</f>
        <v>32.93093267077424</v>
      </c>
      <c r="AA21" s="192">
        <f>'[1]Cl Enr. st'!W21/'[1]Cl Enr'!Z22*100</f>
        <v>35.473108413895531</v>
      </c>
      <c r="AB21" s="192">
        <f>'[1]Cl Enr. st'!AG21/'[1]Cl Enr'!AJ22*100</f>
        <v>27.918682943916139</v>
      </c>
      <c r="AC21" s="192">
        <f>'[1]Cl Enr. st'!AH21/'[1]Cl Enr'!AK22*100</f>
        <v>25.272748208065863</v>
      </c>
      <c r="AD21" s="192">
        <f>'[1]Cl Enr. st'!AI21/'[1]Cl Enr'!AL22*100</f>
        <v>26.664346781842124</v>
      </c>
      <c r="AE21" s="192">
        <f>('[1]Cl Enr. st'!U21+'[1]Cl Enr. st'!AG21)/('[1]Cl Enr'!X22+'[1]Cl Enr'!AJ22)*100</f>
        <v>35.005237080012179</v>
      </c>
      <c r="AF21" s="192">
        <f>('[1]Cl Enr. st'!V21+'[1]Cl Enr. st'!AH21)/('[1]Cl Enr'!Y22+'[1]Cl Enr'!AK22)*100</f>
        <v>30.793946598978252</v>
      </c>
      <c r="AG21" s="192">
        <f>('[1]Cl Enr. st'!W21+'[1]Cl Enr. st'!AI21)/('[1]Cl Enr'!Z22+'[1]Cl Enr'!AL22)*100</f>
        <v>32.981872493815345</v>
      </c>
      <c r="AH21" s="192">
        <f>'[1]Cl Enr. st'!AS21/'[1]Cl Enr'!AV22*100</f>
        <v>27.742574257425744</v>
      </c>
      <c r="AI21" s="192">
        <f>'[1]Cl Enr. st'!AT21/'[1]Cl Enr'!AW22*100</f>
        <v>22.544531794208378</v>
      </c>
      <c r="AJ21" s="192">
        <f>'[1]Cl Enr. st'!AU21/'[1]Cl Enr'!AX22*100</f>
        <v>25.1501315201747</v>
      </c>
      <c r="AK21" s="192">
        <f>'[1]Cl Enr. st'!AV21/'[1]Cl Enr'!AY22*100</f>
        <v>34.057629330112327</v>
      </c>
      <c r="AL21" s="192">
        <f>'[1]Cl Enr. st'!AW21/'[1]Cl Enr'!AZ22*100</f>
        <v>29.647278511653642</v>
      </c>
      <c r="AM21" s="192">
        <f>'[1]Cl Enr. st'!AX21/'[1]Cl Enr'!BA22*100</f>
        <v>31.927777239677095</v>
      </c>
      <c r="AN21" s="192">
        <f>'[1]Cl Enr. st'!BE21/'[1]Cl Enr'!BH22*100</f>
        <v>16.018722466960352</v>
      </c>
      <c r="AO21" s="192">
        <f>'[1]Cl Enr. st'!BF21/'[1]Cl Enr'!BI22*100</f>
        <v>16.975595791884349</v>
      </c>
      <c r="AP21" s="192">
        <f>'[1]Cl Enr. st'!BG21/'[1]Cl Enr'!BJ22*100</f>
        <v>16.434817788566271</v>
      </c>
      <c r="AQ21" s="192">
        <f>'[1]Cl Enr. st'!BH21/'[1]Cl Enr'!BK22*100</f>
        <v>33.058262201260547</v>
      </c>
      <c r="AR21" s="192">
        <f>'[1]Cl Enr. st'!BI21/'[1]Cl Enr'!BL22*100</f>
        <v>29.063212305337572</v>
      </c>
      <c r="AS21" s="192">
        <f>'[1]Cl Enr. st'!BJ21/'[1]Cl Enr'!BM22*100</f>
        <v>31.138748579516189</v>
      </c>
      <c r="AT21" s="192">
        <f>'Rural enrl'!V21/'[1]Cl Enr'!X22*100</f>
        <v>0</v>
      </c>
      <c r="AU21" s="192">
        <f>'Rural enrl'!W21/'[1]Cl Enr'!Y22*100</f>
        <v>0</v>
      </c>
      <c r="AV21" s="192">
        <f>'Rural enrl'!X21/'[1]Cl Enr'!Z22*100</f>
        <v>0</v>
      </c>
      <c r="AW21" s="192">
        <f>'Rural enrl'!AH21/'[1]Cl Enr'!AJ22*100</f>
        <v>0</v>
      </c>
      <c r="AX21" s="192">
        <f>'Rural enrl'!AI21/'[1]Cl Enr'!AK22*100</f>
        <v>0</v>
      </c>
      <c r="AY21" s="192">
        <f>'Rural enrl'!AJ21/'[1]Cl Enr'!AL22*100</f>
        <v>0</v>
      </c>
      <c r="AZ21" s="192">
        <f>('Rural enrl'!V21+'Rural enrl'!AH21)/('[1]Cl Enr'!X22+'[1]Cl Enr'!AJ22)*100</f>
        <v>0</v>
      </c>
      <c r="BA21" s="192">
        <f>('Rural enrl'!W21+'Rural enrl'!AI21)/('[1]Cl Enr'!Y22+'[1]Cl Enr'!AK22)*100</f>
        <v>0</v>
      </c>
      <c r="BB21" s="192">
        <f>('Rural enrl'!X21+'Rural enrl'!AJ21)/('[1]Cl Enr'!Z22+'[1]Cl Enr'!AL22)*100</f>
        <v>0</v>
      </c>
      <c r="BC21" s="191">
        <f>'Rural enrl'!AT21/'[1]Cl Enr'!AV22*100</f>
        <v>0</v>
      </c>
      <c r="BD21" s="191">
        <f>'Rural enrl'!AU21/'[1]Cl Enr'!AW22*100</f>
        <v>0</v>
      </c>
      <c r="BE21" s="191">
        <f>'Rural enrl'!AV21/'[1]Cl Enr'!AX22*100</f>
        <v>0</v>
      </c>
      <c r="BF21" s="191">
        <f>'Rural enrl'!AW21/'[1]Cl Enr'!AY22*100</f>
        <v>0</v>
      </c>
      <c r="BG21" s="191">
        <f>'Rural enrl'!AX21/'[1]Cl Enr'!AZ22*100</f>
        <v>0</v>
      </c>
      <c r="BH21" s="191">
        <f>'Rural enrl'!AY21/'[1]Cl Enr'!BA22*100</f>
        <v>0</v>
      </c>
      <c r="BI21" s="191">
        <f>'Rural enrl'!BF21/'[1]Cl Enr'!BH22*100</f>
        <v>0</v>
      </c>
      <c r="BJ21" s="191">
        <f>'Rural enrl'!BG21/'[1]Cl Enr'!BI22*100</f>
        <v>0</v>
      </c>
      <c r="BK21" s="191">
        <f>'Rural enrl'!BH21/'[1]Cl Enr'!BJ22*100</f>
        <v>0</v>
      </c>
      <c r="BL21" s="191">
        <f>'Rural enrl'!BI21/'[1]Cl Enr'!BK22*100</f>
        <v>0</v>
      </c>
      <c r="BM21" s="191">
        <f>'Rural enrl'!BJ21/'[1]Cl Enr'!BL22*100</f>
        <v>0</v>
      </c>
      <c r="BN21" s="191">
        <f>'Rural enrl'!BK21/'[1]Cl Enr'!BM22*100</f>
        <v>0</v>
      </c>
    </row>
    <row r="22" spans="2:66" ht="21.95" customHeight="1">
      <c r="B22" s="169">
        <v>17</v>
      </c>
      <c r="C22" s="173" t="s">
        <v>30</v>
      </c>
      <c r="D22" s="192">
        <f>'[1]Cl Enr. sc'!U22/'[1]Cl Enr'!X23*100</f>
        <v>1.0692082916593124</v>
      </c>
      <c r="E22" s="192">
        <f>'[1]Cl Enr. sc'!V22/'[1]Cl Enr'!Y23*100</f>
        <v>0.90509704234969979</v>
      </c>
      <c r="F22" s="192">
        <f>'[1]Cl Enr. sc'!W22/'[1]Cl Enr'!Z23*100</f>
        <v>0.98741289558487344</v>
      </c>
      <c r="G22" s="192">
        <f>'[1]Cl Enr. sc'!AG22/'[1]Cl Enr'!AJ23*100</f>
        <v>1.4214876033057851</v>
      </c>
      <c r="H22" s="192">
        <f>'[1]Cl Enr. sc'!AH22/'[1]Cl Enr'!AK23*100</f>
        <v>1.2179812172569469</v>
      </c>
      <c r="I22" s="192">
        <f>'[1]Cl Enr. sc'!AI22/'[1]Cl Enr'!AL23*100</f>
        <v>1.3151003047953203</v>
      </c>
      <c r="J22" s="192">
        <f>('[1]Cl Enr. sc'!U22+'[1]Cl Enr. sc'!AG22)/('[1]Cl Enr'!X23+'[1]Cl Enr'!AJ23)*100</f>
        <v>1.1497973259120335</v>
      </c>
      <c r="K22" s="192">
        <f>('[1]Cl Enr. sc'!V22+'[1]Cl Enr. sc'!AH22)/('[1]Cl Enr'!Y23+'[1]Cl Enr'!AK23)*100</f>
        <v>0.98219730208069966</v>
      </c>
      <c r="L22" s="192">
        <f>('[1]Cl Enr. sc'!W22+'[1]Cl Enr. sc'!AI22)/('[1]Cl Enr'!Z23+'[1]Cl Enr'!AL23)*100</f>
        <v>1.065292869301778</v>
      </c>
      <c r="M22" s="192">
        <f>'[1]Cl Enr. sc'!AS22/'[1]Cl Enr'!AV23*100</f>
        <v>1.9116977696859356</v>
      </c>
      <c r="N22" s="192">
        <f>'[1]Cl Enr. sc'!AT22/'[1]Cl Enr'!AW23*100</f>
        <v>1.4530679705254459</v>
      </c>
      <c r="O22" s="192">
        <f>'[1]Cl Enr. sc'!AU22/'[1]Cl Enr'!AX23*100</f>
        <v>1.6712991372775512</v>
      </c>
      <c r="P22" s="192">
        <f>'[1]Cl Enr. sc'!AV22/'[1]Cl Enr'!AY23*100</f>
        <v>1.2060715406338249</v>
      </c>
      <c r="Q22" s="192">
        <f>'[1]Cl Enr. sc'!AW22/'[1]Cl Enr'!AZ23*100</f>
        <v>1.0196398404280078</v>
      </c>
      <c r="R22" s="192">
        <f>'[1]Cl Enr. sc'!AX22/'[1]Cl Enr'!BA23*100</f>
        <v>1.1117865436302483</v>
      </c>
      <c r="S22" s="192">
        <f>'[1]Cl Enr. sc'!BE22/'[1]Cl Enr'!BH23*100</f>
        <v>1.2841291609524998</v>
      </c>
      <c r="T22" s="192">
        <f>'[1]Cl Enr. sc'!BF22/'[1]Cl Enr'!BI23*100</f>
        <v>0.90334236675700086</v>
      </c>
      <c r="U22" s="192">
        <f>'[1]Cl Enr. sc'!BG22/'[1]Cl Enr'!BJ23*100</f>
        <v>1.07317615658363</v>
      </c>
      <c r="V22" s="192">
        <f>'[1]Cl Enr. sc'!BH22/'[1]Cl Enr'!BK23*100</f>
        <v>1.207787048073103</v>
      </c>
      <c r="W22" s="192">
        <f>'[1]Cl Enr. sc'!BI22/'[1]Cl Enr'!BL23*100</f>
        <v>1.0165516138489832</v>
      </c>
      <c r="X22" s="192">
        <f>'[1]Cl Enr. sc'!BJ22/'[1]Cl Enr'!BM23*100</f>
        <v>1.1108484033749688</v>
      </c>
      <c r="Y22" s="192">
        <f>'[1]Cl Enr. st'!U22/'[1]Cl Enr'!X23*100</f>
        <v>86.88042987978271</v>
      </c>
      <c r="Z22" s="192">
        <f>'[1]Cl Enr. st'!V22/'[1]Cl Enr'!Y23*100</f>
        <v>86.59919555701164</v>
      </c>
      <c r="AA22" s="192">
        <f>'[1]Cl Enr. st'!W22/'[1]Cl Enr'!Z23*100</f>
        <v>86.740258667159821</v>
      </c>
      <c r="AB22" s="192">
        <f>'[1]Cl Enr. st'!AG22/'[1]Cl Enr'!AJ23*100</f>
        <v>85.652892561983478</v>
      </c>
      <c r="AC22" s="192">
        <f>'[1]Cl Enr. st'!AH22/'[1]Cl Enr'!AK23*100</f>
        <v>87.0572897805461</v>
      </c>
      <c r="AD22" s="192">
        <f>'[1]Cl Enr. st'!AI22/'[1]Cl Enr'!AL23*100</f>
        <v>86.387071125218498</v>
      </c>
      <c r="AE22" s="192">
        <f>('[1]Cl Enr. st'!U22+'[1]Cl Enr. st'!AG22)/('[1]Cl Enr'!X23+'[1]Cl Enr'!AJ23)*100</f>
        <v>86.599612801742381</v>
      </c>
      <c r="AF22" s="192">
        <f>('[1]Cl Enr. st'!V22+'[1]Cl Enr. st'!AH22)/('[1]Cl Enr'!Y23+'[1]Cl Enr'!AK23)*100</f>
        <v>86.712078171244997</v>
      </c>
      <c r="AG22" s="192">
        <f>('[1]Cl Enr. st'!W22+'[1]Cl Enr. st'!AI22)/('[1]Cl Enr'!Z23+'[1]Cl Enr'!AL23)*100</f>
        <v>86.656318193066511</v>
      </c>
      <c r="AH22" s="192">
        <f>'[1]Cl Enr. st'!AS22/'[1]Cl Enr'!AV23*100</f>
        <v>87.953269610074344</v>
      </c>
      <c r="AI22" s="192">
        <f>'[1]Cl Enr. st'!AT22/'[1]Cl Enr'!AW23*100</f>
        <v>88.675022381378682</v>
      </c>
      <c r="AJ22" s="192">
        <f>'[1]Cl Enr. st'!AU22/'[1]Cl Enr'!AX23*100</f>
        <v>88.331588636609752</v>
      </c>
      <c r="AK22" s="192">
        <f>'[1]Cl Enr. st'!AV22/'[1]Cl Enr'!AY23*100</f>
        <v>86.699594334125237</v>
      </c>
      <c r="AL22" s="192">
        <f>'[1]Cl Enr. st'!AW22/'[1]Cl Enr'!AZ23*100</f>
        <v>86.868166920846491</v>
      </c>
      <c r="AM22" s="192">
        <f>'[1]Cl Enr. st'!AX22/'[1]Cl Enr'!BA23*100</f>
        <v>86.784847356097103</v>
      </c>
      <c r="AN22" s="192">
        <f>'[1]Cl Enr. st'!BE22/'[1]Cl Enr'!BH23*100</f>
        <v>64.99189627228526</v>
      </c>
      <c r="AO22" s="192">
        <f>'[1]Cl Enr. st'!BF22/'[1]Cl Enr'!BI23*100</f>
        <v>65.171133192813414</v>
      </c>
      <c r="AP22" s="192">
        <f>'[1]Cl Enr. st'!BG22/'[1]Cl Enr'!BJ23*100</f>
        <v>65.091192170818502</v>
      </c>
      <c r="AQ22" s="192">
        <f>'[1]Cl Enr. st'!BH22/'[1]Cl Enr'!BK23*100</f>
        <v>86.222514487690603</v>
      </c>
      <c r="AR22" s="192">
        <f>'[1]Cl Enr. st'!BI22/'[1]Cl Enr'!BL23*100</f>
        <v>86.292012047229406</v>
      </c>
      <c r="AS22" s="192">
        <f>'[1]Cl Enr. st'!BJ22/'[1]Cl Enr'!BM23*100</f>
        <v>86.257743310522798</v>
      </c>
      <c r="AT22" s="192">
        <f>'Rural enrl'!V22/'[1]Cl Enr'!X23*100</f>
        <v>0</v>
      </c>
      <c r="AU22" s="192">
        <f>'Rural enrl'!W22/'[1]Cl Enr'!Y23*100</f>
        <v>0</v>
      </c>
      <c r="AV22" s="192">
        <f>'Rural enrl'!X22/'[1]Cl Enr'!Z23*100</f>
        <v>0</v>
      </c>
      <c r="AW22" s="192">
        <f>'Rural enrl'!AH22/'[1]Cl Enr'!AJ23*100</f>
        <v>0</v>
      </c>
      <c r="AX22" s="192">
        <f>'Rural enrl'!AI22/'[1]Cl Enr'!AK23*100</f>
        <v>0</v>
      </c>
      <c r="AY22" s="192">
        <f>'Rural enrl'!AJ22/'[1]Cl Enr'!AL23*100</f>
        <v>0</v>
      </c>
      <c r="AZ22" s="192">
        <f>('Rural enrl'!V22+'Rural enrl'!AH22)/('[1]Cl Enr'!X23+'[1]Cl Enr'!AJ23)*100</f>
        <v>0</v>
      </c>
      <c r="BA22" s="192">
        <f>('Rural enrl'!W22+'Rural enrl'!AI22)/('[1]Cl Enr'!Y23+'[1]Cl Enr'!AK23)*100</f>
        <v>0</v>
      </c>
      <c r="BB22" s="192">
        <f>('Rural enrl'!X22+'Rural enrl'!AJ22)/('[1]Cl Enr'!Z23+'[1]Cl Enr'!AL23)*100</f>
        <v>0</v>
      </c>
      <c r="BC22" s="191">
        <f>'Rural enrl'!AT22/'[1]Cl Enr'!AV23*100</f>
        <v>0</v>
      </c>
      <c r="BD22" s="191">
        <f>'Rural enrl'!AU22/'[1]Cl Enr'!AW23*100</f>
        <v>0</v>
      </c>
      <c r="BE22" s="191">
        <f>'Rural enrl'!AV22/'[1]Cl Enr'!AX23*100</f>
        <v>0</v>
      </c>
      <c r="BF22" s="191">
        <f>'Rural enrl'!AW22/'[1]Cl Enr'!AY23*100</f>
        <v>0</v>
      </c>
      <c r="BG22" s="191">
        <f>'Rural enrl'!AX22/'[1]Cl Enr'!AZ23*100</f>
        <v>0</v>
      </c>
      <c r="BH22" s="191">
        <f>'Rural enrl'!AY22/'[1]Cl Enr'!BA23*100</f>
        <v>0</v>
      </c>
      <c r="BI22" s="191">
        <f>'Rural enrl'!BF22/'[1]Cl Enr'!BH23*100</f>
        <v>0</v>
      </c>
      <c r="BJ22" s="191">
        <f>'Rural enrl'!BG22/'[1]Cl Enr'!BI23*100</f>
        <v>0</v>
      </c>
      <c r="BK22" s="191">
        <f>'Rural enrl'!BH22/'[1]Cl Enr'!BJ23*100</f>
        <v>0</v>
      </c>
      <c r="BL22" s="191">
        <f>'Rural enrl'!BI22/'[1]Cl Enr'!BK23*100</f>
        <v>0</v>
      </c>
      <c r="BM22" s="191">
        <f>'Rural enrl'!BJ22/'[1]Cl Enr'!BL23*100</f>
        <v>0</v>
      </c>
      <c r="BN22" s="191">
        <f>'Rural enrl'!BK22/'[1]Cl Enr'!BM23*100</f>
        <v>0</v>
      </c>
    </row>
    <row r="23" spans="2:66" ht="21.95" customHeight="1">
      <c r="B23" s="169">
        <v>18</v>
      </c>
      <c r="C23" s="173" t="s">
        <v>31</v>
      </c>
      <c r="D23" s="192">
        <f>'[1]Cl Enr. sc'!U23/'[1]Cl Enr'!X24*100</f>
        <v>6.7165482315328503E-3</v>
      </c>
      <c r="E23" s="192">
        <f>'[1]Cl Enr. sc'!V23/'[1]Cl Enr'!Y24*100</f>
        <v>1.477017606049864E-2</v>
      </c>
      <c r="F23" s="192">
        <f>'[1]Cl Enr. sc'!W23/'[1]Cl Enr'!Z24*100</f>
        <v>1.0552456260068802E-2</v>
      </c>
      <c r="G23" s="192">
        <f>'[1]Cl Enr. sc'!AG23/'[1]Cl Enr'!AJ24*100</f>
        <v>1.2503516614047701E-2</v>
      </c>
      <c r="H23" s="192">
        <f>'[1]Cl Enr. sc'!AH23/'[1]Cl Enr'!AK24*100</f>
        <v>1.684409109284463E-2</v>
      </c>
      <c r="I23" s="192">
        <f>'[1]Cl Enr. sc'!AI23/'[1]Cl Enr'!AL24*100</f>
        <v>1.4592622618565058E-2</v>
      </c>
      <c r="J23" s="192">
        <f>('[1]Cl Enr. sc'!U23+'[1]Cl Enr. sc'!AG23)/('[1]Cl Enr'!X24+'[1]Cl Enr'!AJ24)*100</f>
        <v>8.4559445290038893E-3</v>
      </c>
      <c r="K23" s="192">
        <f>('[1]Cl Enr. sc'!V23+'[1]Cl Enr. sc'!AH23)/('[1]Cl Enr'!Y24+'[1]Cl Enr'!AK24)*100</f>
        <v>1.5402308292602784E-2</v>
      </c>
      <c r="L23" s="192">
        <f>('[1]Cl Enr. sc'!W23+'[1]Cl Enr. sc'!AI23)/('[1]Cl Enr'!Z24+'[1]Cl Enr'!AL24)*100</f>
        <v>1.177498012972103E-2</v>
      </c>
      <c r="M23" s="192">
        <f>'[1]Cl Enr. sc'!AS23/'[1]Cl Enr'!AV24*100</f>
        <v>1.3167423793534794E-2</v>
      </c>
      <c r="N23" s="192">
        <f>'[1]Cl Enr. sc'!AT23/'[1]Cl Enr'!AW24*100</f>
        <v>1.3130252100840336E-2</v>
      </c>
      <c r="O23" s="192">
        <f>'[1]Cl Enr. sc'!AU23/'[1]Cl Enr'!AX24*100</f>
        <v>1.3148811676144768E-2</v>
      </c>
      <c r="P23" s="192">
        <f>'[1]Cl Enr. sc'!AV23/'[1]Cl Enr'!AY24*100</f>
        <v>9.0443419419024354E-3</v>
      </c>
      <c r="Q23" s="192">
        <f>'[1]Cl Enr. sc'!AW23/'[1]Cl Enr'!AZ24*100</f>
        <v>1.5095009767359261E-2</v>
      </c>
      <c r="R23" s="192">
        <f>'[1]Cl Enr. sc'!AX23/'[1]Cl Enr'!BA24*100</f>
        <v>1.1953398820882588E-2</v>
      </c>
      <c r="S23" s="192">
        <f>'[1]Cl Enr. sc'!BE23/'[1]Cl Enr'!BH24*100</f>
        <v>4.6184043413000808E-2</v>
      </c>
      <c r="T23" s="192">
        <f>'[1]Cl Enr. sc'!BF23/'[1]Cl Enr'!BI24*100</f>
        <v>1.1921793037672865E-2</v>
      </c>
      <c r="U23" s="192">
        <f>'[1]Cl Enr. sc'!BG23/'[1]Cl Enr'!BJ24*100</f>
        <v>2.9327233268813424E-2</v>
      </c>
      <c r="V23" s="192">
        <f>'[1]Cl Enr. sc'!BH23/'[1]Cl Enr'!BK24*100</f>
        <v>1.1513309385649812E-2</v>
      </c>
      <c r="W23" s="192">
        <f>'[1]Cl Enr. sc'!BI23/'[1]Cl Enr'!BL24*100</f>
        <v>1.4875049583498612E-2</v>
      </c>
      <c r="X23" s="192">
        <f>'[1]Cl Enr. sc'!BJ23/'[1]Cl Enr'!BM24*100</f>
        <v>1.3132133135953393E-2</v>
      </c>
      <c r="Y23" s="192">
        <f>'[1]Cl Enr. st'!U23/'[1]Cl Enr'!X24*100</f>
        <v>98.178472119608301</v>
      </c>
      <c r="Z23" s="192">
        <f>'[1]Cl Enr. st'!V23/'[1]Cl Enr'!Y24*100</f>
        <v>98.18326834455867</v>
      </c>
      <c r="AA23" s="192">
        <f>'[1]Cl Enr. st'!W23/'[1]Cl Enr'!Z24*100</f>
        <v>98.180756540764136</v>
      </c>
      <c r="AB23" s="192">
        <f>'[1]Cl Enr. st'!AG23/'[1]Cl Enr'!AJ24*100</f>
        <v>97.233596949141941</v>
      </c>
      <c r="AC23" s="192">
        <f>'[1]Cl Enr. st'!AH23/'[1]Cl Enr'!AK24*100</f>
        <v>97.23420024255492</v>
      </c>
      <c r="AD23" s="192">
        <f>'[1]Cl Enr. st'!AI23/'[1]Cl Enr'!AL24*100</f>
        <v>97.23388731252534</v>
      </c>
      <c r="AE23" s="192">
        <f>('[1]Cl Enr. st'!U23+'[1]Cl Enr. st'!AG23)/('[1]Cl Enr'!X24+'[1]Cl Enr'!AJ24)*100</f>
        <v>97.894469812278032</v>
      </c>
      <c r="AF23" s="192">
        <f>('[1]Cl Enr. st'!V23+'[1]Cl Enr. st'!AH23)/('[1]Cl Enr'!Y24+'[1]Cl Enr'!AK24)*100</f>
        <v>97.893991046124782</v>
      </c>
      <c r="AG23" s="192">
        <f>('[1]Cl Enr. st'!W23+'[1]Cl Enr. st'!AI23)/('[1]Cl Enr'!Z24+'[1]Cl Enr'!AL24)*100</f>
        <v>97.894241053468221</v>
      </c>
      <c r="AH23" s="192">
        <f>'[1]Cl Enr. st'!AS23/'[1]Cl Enr'!AV24*100</f>
        <v>98.031470142866553</v>
      </c>
      <c r="AI23" s="192">
        <f>'[1]Cl Enr. st'!AT23/'[1]Cl Enr'!AW24*100</f>
        <v>98.430934873949582</v>
      </c>
      <c r="AJ23" s="192">
        <f>'[1]Cl Enr. st'!AU23/'[1]Cl Enr'!AX24*100</f>
        <v>98.231484829558525</v>
      </c>
      <c r="AK23" s="192">
        <f>'[1]Cl Enr. st'!AV23/'[1]Cl Enr'!AY24*100</f>
        <v>97.911579224324342</v>
      </c>
      <c r="AL23" s="192">
        <f>'[1]Cl Enr. st'!AW23/'[1]Cl Enr'!AZ24*100</f>
        <v>97.966613390161612</v>
      </c>
      <c r="AM23" s="192">
        <f>'[1]Cl Enr. st'!AX23/'[1]Cl Enr'!BA24*100</f>
        <v>97.938038703397751</v>
      </c>
      <c r="AN23" s="192">
        <f>'[1]Cl Enr. st'!BE23/'[1]Cl Enr'!BH24*100</f>
        <v>97.863987992148722</v>
      </c>
      <c r="AO23" s="192">
        <f>'[1]Cl Enr. st'!BF23/'[1]Cl Enr'!BI24*100</f>
        <v>98.211731044349065</v>
      </c>
      <c r="AP23" s="192">
        <f>'[1]Cl Enr. st'!BG23/'[1]Cl Enr'!BJ24*100</f>
        <v>98.035075370989503</v>
      </c>
      <c r="AQ23" s="192">
        <f>'[1]Cl Enr. st'!BH23/'[1]Cl Enr'!BK24*100</f>
        <v>97.90841546160695</v>
      </c>
      <c r="AR23" s="192">
        <f>'[1]Cl Enr. st'!BI23/'[1]Cl Enr'!BL24*100</f>
        <v>97.983604389792418</v>
      </c>
      <c r="AS23" s="192">
        <f>'[1]Cl Enr. st'!BJ23/'[1]Cl Enr'!BM24*100</f>
        <v>97.944622192509115</v>
      </c>
      <c r="AT23" s="192">
        <f>'Rural enrl'!V23/'[1]Cl Enr'!X24*100</f>
        <v>0</v>
      </c>
      <c r="AU23" s="192">
        <f>'Rural enrl'!W23/'[1]Cl Enr'!Y24*100</f>
        <v>0</v>
      </c>
      <c r="AV23" s="192">
        <f>'Rural enrl'!X23/'[1]Cl Enr'!Z24*100</f>
        <v>0</v>
      </c>
      <c r="AW23" s="192">
        <f>'Rural enrl'!AH23/'[1]Cl Enr'!AJ24*100</f>
        <v>0</v>
      </c>
      <c r="AX23" s="192">
        <f>'Rural enrl'!AI23/'[1]Cl Enr'!AK24*100</f>
        <v>0</v>
      </c>
      <c r="AY23" s="192">
        <f>'Rural enrl'!AJ23/'[1]Cl Enr'!AL24*100</f>
        <v>0</v>
      </c>
      <c r="AZ23" s="192">
        <f>('Rural enrl'!V23+'Rural enrl'!AH23)/('[1]Cl Enr'!X24+'[1]Cl Enr'!AJ24)*100</f>
        <v>0</v>
      </c>
      <c r="BA23" s="192">
        <f>('Rural enrl'!W23+'Rural enrl'!AI23)/('[1]Cl Enr'!Y24+'[1]Cl Enr'!AK24)*100</f>
        <v>0</v>
      </c>
      <c r="BB23" s="192">
        <f>('Rural enrl'!X23+'Rural enrl'!AJ23)/('[1]Cl Enr'!Z24+'[1]Cl Enr'!AL24)*100</f>
        <v>0</v>
      </c>
      <c r="BC23" s="191">
        <f>'Rural enrl'!AT23/'[1]Cl Enr'!AV24*100</f>
        <v>0</v>
      </c>
      <c r="BD23" s="191">
        <f>'Rural enrl'!AU23/'[1]Cl Enr'!AW24*100</f>
        <v>0</v>
      </c>
      <c r="BE23" s="191">
        <f>'Rural enrl'!AV23/'[1]Cl Enr'!AX24*100</f>
        <v>0</v>
      </c>
      <c r="BF23" s="191">
        <f>'Rural enrl'!AW23/'[1]Cl Enr'!AY24*100</f>
        <v>0</v>
      </c>
      <c r="BG23" s="191">
        <f>'Rural enrl'!AX23/'[1]Cl Enr'!AZ24*100</f>
        <v>0</v>
      </c>
      <c r="BH23" s="191">
        <f>'Rural enrl'!AY23/'[1]Cl Enr'!BA24*100</f>
        <v>0</v>
      </c>
      <c r="BI23" s="191">
        <f>'Rural enrl'!BF23/'[1]Cl Enr'!BH24*100</f>
        <v>0</v>
      </c>
      <c r="BJ23" s="191">
        <f>'Rural enrl'!BG23/'[1]Cl Enr'!BI24*100</f>
        <v>0</v>
      </c>
      <c r="BK23" s="191">
        <f>'Rural enrl'!BH23/'[1]Cl Enr'!BJ24*100</f>
        <v>0</v>
      </c>
      <c r="BL23" s="191">
        <f>'Rural enrl'!BI23/'[1]Cl Enr'!BK24*100</f>
        <v>0</v>
      </c>
      <c r="BM23" s="191">
        <f>'Rural enrl'!BJ23/'[1]Cl Enr'!BL24*100</f>
        <v>0</v>
      </c>
      <c r="BN23" s="191">
        <f>'Rural enrl'!BK23/'[1]Cl Enr'!BM24*100</f>
        <v>0</v>
      </c>
    </row>
    <row r="24" spans="2:66" ht="21.95" customHeight="1">
      <c r="B24" s="169">
        <v>19</v>
      </c>
      <c r="C24" s="173" t="s">
        <v>54</v>
      </c>
      <c r="D24" s="193" t="s">
        <v>168</v>
      </c>
      <c r="E24" s="193" t="s">
        <v>168</v>
      </c>
      <c r="F24" s="193" t="s">
        <v>168</v>
      </c>
      <c r="G24" s="193" t="s">
        <v>168</v>
      </c>
      <c r="H24" s="193" t="s">
        <v>168</v>
      </c>
      <c r="I24" s="193" t="s">
        <v>168</v>
      </c>
      <c r="J24" s="193" t="s">
        <v>168</v>
      </c>
      <c r="K24" s="193" t="s">
        <v>168</v>
      </c>
      <c r="L24" s="193" t="s">
        <v>168</v>
      </c>
      <c r="M24" s="193" t="s">
        <v>168</v>
      </c>
      <c r="N24" s="193" t="s">
        <v>168</v>
      </c>
      <c r="O24" s="193" t="s">
        <v>168</v>
      </c>
      <c r="P24" s="193" t="s">
        <v>168</v>
      </c>
      <c r="Q24" s="193" t="s">
        <v>168</v>
      </c>
      <c r="R24" s="193" t="s">
        <v>168</v>
      </c>
      <c r="S24" s="193" t="s">
        <v>168</v>
      </c>
      <c r="T24" s="193" t="s">
        <v>168</v>
      </c>
      <c r="U24" s="193" t="s">
        <v>168</v>
      </c>
      <c r="V24" s="193" t="s">
        <v>168</v>
      </c>
      <c r="W24" s="193" t="s">
        <v>168</v>
      </c>
      <c r="X24" s="193" t="s">
        <v>168</v>
      </c>
      <c r="Y24" s="192">
        <f>'[1]Cl Enr. st'!U24/'[1]Cl Enr'!X25*100</f>
        <v>94.485988699572061</v>
      </c>
      <c r="Z24" s="192">
        <f>'[1]Cl Enr. st'!V24/'[1]Cl Enr'!Y25*100</f>
        <v>93.572823410658188</v>
      </c>
      <c r="AA24" s="192">
        <f>'[1]Cl Enr. st'!W24/'[1]Cl Enr'!Z25*100</f>
        <v>94.045604265618465</v>
      </c>
      <c r="AB24" s="192">
        <f>'[1]Cl Enr. st'!AG24/'[1]Cl Enr'!AJ25*100</f>
        <v>94.553617907339927</v>
      </c>
      <c r="AC24" s="192">
        <f>'[1]Cl Enr. st'!AH24/'[1]Cl Enr'!AK25*100</f>
        <v>91.36031911518063</v>
      </c>
      <c r="AD24" s="192">
        <f>'[1]Cl Enr. st'!AI24/'[1]Cl Enr'!AL25*100</f>
        <v>92.992042205129337</v>
      </c>
      <c r="AE24" s="192">
        <f>('[1]Cl Enr. st'!U24+'[1]Cl Enr. st'!AG24)/('[1]Cl Enr'!X25+'[1]Cl Enr'!AJ25)*100</f>
        <v>94.505487633282257</v>
      </c>
      <c r="AF24" s="192">
        <f>('[1]Cl Enr. st'!V24+'[1]Cl Enr. st'!AH24)/('[1]Cl Enr'!Y25+'[1]Cl Enr'!AK25)*100</f>
        <v>92.922564529558699</v>
      </c>
      <c r="AG24" s="192">
        <f>('[1]Cl Enr. st'!W24+'[1]Cl Enr. st'!AI24)/('[1]Cl Enr'!Z25+'[1]Cl Enr'!AL25)*100</f>
        <v>93.738993000677354</v>
      </c>
      <c r="AH24" s="192">
        <f>'[1]Cl Enr. st'!AS24/'[1]Cl Enr'!AV25*100</f>
        <v>96.963852423318613</v>
      </c>
      <c r="AI24" s="192">
        <f>'[1]Cl Enr. st'!AT24/'[1]Cl Enr'!AW25*100</f>
        <v>96.414892949080183</v>
      </c>
      <c r="AJ24" s="192">
        <f>'[1]Cl Enr. st'!AU24/'[1]Cl Enr'!AX25*100</f>
        <v>96.690624999999997</v>
      </c>
      <c r="AK24" s="192">
        <f>'[1]Cl Enr. st'!AV24/'[1]Cl Enr'!AY25*100</f>
        <v>94.730023071065702</v>
      </c>
      <c r="AL24" s="192">
        <f>'[1]Cl Enr. st'!AW24/'[1]Cl Enr'!AZ25*100</f>
        <v>93.257533784597584</v>
      </c>
      <c r="AM24" s="192">
        <f>'[1]Cl Enr. st'!AX24/'[1]Cl Enr'!BA25*100</f>
        <v>94.015144870333017</v>
      </c>
      <c r="AN24" s="192">
        <f>'[1]Cl Enr. st'!BE24/'[1]Cl Enr'!BH25*100</f>
        <v>91.892617449664428</v>
      </c>
      <c r="AO24" s="192">
        <f>'[1]Cl Enr. st'!BF24/'[1]Cl Enr'!BI25*100</f>
        <v>97.547309440744272</v>
      </c>
      <c r="AP24" s="192">
        <f>'[1]Cl Enr. st'!BG24/'[1]Cl Enr'!BJ25*100</f>
        <v>94.4848308616846</v>
      </c>
      <c r="AQ24" s="192">
        <f>'[1]Cl Enr. st'!BH24/'[1]Cl Enr'!BK25*100</f>
        <v>94.560600150678852</v>
      </c>
      <c r="AR24" s="192">
        <f>'[1]Cl Enr. st'!BI24/'[1]Cl Enr'!BL25*100</f>
        <v>93.488727202283613</v>
      </c>
      <c r="AS24" s="192">
        <f>'[1]Cl Enr. st'!BJ24/'[1]Cl Enr'!BM25*100</f>
        <v>94.041867954911424</v>
      </c>
      <c r="AT24" s="192">
        <f>'Rural enrl'!V24/'[1]Cl Enr'!X25*100</f>
        <v>0</v>
      </c>
      <c r="AU24" s="192">
        <f>'Rural enrl'!W24/'[1]Cl Enr'!Y25*100</f>
        <v>0</v>
      </c>
      <c r="AV24" s="192">
        <f>'Rural enrl'!X24/'[1]Cl Enr'!Z25*100</f>
        <v>0</v>
      </c>
      <c r="AW24" s="192">
        <f>'Rural enrl'!AH24/'[1]Cl Enr'!AJ25*100</f>
        <v>0</v>
      </c>
      <c r="AX24" s="192">
        <f>'Rural enrl'!AI24/'[1]Cl Enr'!AK25*100</f>
        <v>0</v>
      </c>
      <c r="AY24" s="192">
        <f>'Rural enrl'!AJ24/'[1]Cl Enr'!AL25*100</f>
        <v>0</v>
      </c>
      <c r="AZ24" s="192">
        <f>('Rural enrl'!V24+'Rural enrl'!AH24)/('[1]Cl Enr'!X25+'[1]Cl Enr'!AJ25)*100</f>
        <v>0</v>
      </c>
      <c r="BA24" s="192">
        <f>('Rural enrl'!W24+'Rural enrl'!AI24)/('[1]Cl Enr'!Y25+'[1]Cl Enr'!AK25)*100</f>
        <v>0</v>
      </c>
      <c r="BB24" s="192">
        <f>('Rural enrl'!X24+'Rural enrl'!AJ24)/('[1]Cl Enr'!Z25+'[1]Cl Enr'!AL25)*100</f>
        <v>0</v>
      </c>
      <c r="BC24" s="191">
        <f>'Rural enrl'!AT24/'[1]Cl Enr'!AV25*100</f>
        <v>0</v>
      </c>
      <c r="BD24" s="191">
        <f>'Rural enrl'!AU24/'[1]Cl Enr'!AW25*100</f>
        <v>0</v>
      </c>
      <c r="BE24" s="191">
        <f>'Rural enrl'!AV24/'[1]Cl Enr'!AX25*100</f>
        <v>0</v>
      </c>
      <c r="BF24" s="191">
        <f>'Rural enrl'!AW24/'[1]Cl Enr'!AY25*100</f>
        <v>0</v>
      </c>
      <c r="BG24" s="191">
        <f>'Rural enrl'!AX24/'[1]Cl Enr'!AZ25*100</f>
        <v>0</v>
      </c>
      <c r="BH24" s="191">
        <f>'Rural enrl'!AY24/'[1]Cl Enr'!BA25*100</f>
        <v>0</v>
      </c>
      <c r="BI24" s="191">
        <f>'Rural enrl'!BF24/'[1]Cl Enr'!BH25*100</f>
        <v>0</v>
      </c>
      <c r="BJ24" s="191">
        <f>'Rural enrl'!BG24/'[1]Cl Enr'!BI25*100</f>
        <v>0</v>
      </c>
      <c r="BK24" s="191">
        <f>'Rural enrl'!BH24/'[1]Cl Enr'!BJ25*100</f>
        <v>0</v>
      </c>
      <c r="BL24" s="191">
        <f>'Rural enrl'!BI24/'[1]Cl Enr'!BK25*100</f>
        <v>0</v>
      </c>
      <c r="BM24" s="191">
        <f>'Rural enrl'!BJ24/'[1]Cl Enr'!BL25*100</f>
        <v>0</v>
      </c>
      <c r="BN24" s="191">
        <f>'Rural enrl'!BK24/'[1]Cl Enr'!BM25*100</f>
        <v>0</v>
      </c>
    </row>
    <row r="25" spans="2:66" ht="21.95" customHeight="1">
      <c r="B25" s="169">
        <v>20</v>
      </c>
      <c r="C25" s="173" t="s">
        <v>55</v>
      </c>
      <c r="D25" s="192">
        <f>'[1]Cl Enr. sc'!U25/'[1]Cl Enr'!X26*100</f>
        <v>19.108064810215176</v>
      </c>
      <c r="E25" s="192">
        <f>'[1]Cl Enr. sc'!V25/'[1]Cl Enr'!Y26*100</f>
        <v>19.405615054785379</v>
      </c>
      <c r="F25" s="192">
        <f>'[1]Cl Enr. sc'!W25/'[1]Cl Enr'!Z26*100</f>
        <v>19.252713874594146</v>
      </c>
      <c r="G25" s="192">
        <f>'[1]Cl Enr. sc'!AG25/'[1]Cl Enr'!AJ26*100</f>
        <v>19.383646509898124</v>
      </c>
      <c r="H25" s="192">
        <f>'[1]Cl Enr. sc'!AH25/'[1]Cl Enr'!AK26*100</f>
        <v>19.520963781651492</v>
      </c>
      <c r="I25" s="192">
        <f>'[1]Cl Enr. sc'!AI25/'[1]Cl Enr'!AL26*100</f>
        <v>19.449343261602774</v>
      </c>
      <c r="J25" s="192">
        <f>('[1]Cl Enr. sc'!U25+'[1]Cl Enr. sc'!AG25)/('[1]Cl Enr'!X26+'[1]Cl Enr'!AJ26)*100</f>
        <v>19.194438290868703</v>
      </c>
      <c r="K25" s="192">
        <f>('[1]Cl Enr. sc'!V25+'[1]Cl Enr. sc'!AH25)/('[1]Cl Enr'!Y26+'[1]Cl Enr'!AK26)*100</f>
        <v>19.441006600660067</v>
      </c>
      <c r="L25" s="192">
        <f>('[1]Cl Enr. sc'!W25+'[1]Cl Enr. sc'!AI25)/('[1]Cl Enr'!Z26+'[1]Cl Enr'!AL26)*100</f>
        <v>19.313714127378748</v>
      </c>
      <c r="M25" s="192">
        <f>'[1]Cl Enr. sc'!AS25/'[1]Cl Enr'!AV26*100</f>
        <v>16.977814916087187</v>
      </c>
      <c r="N25" s="192">
        <f>'[1]Cl Enr. sc'!AT25/'[1]Cl Enr'!AW26*100</f>
        <v>16.785356704694486</v>
      </c>
      <c r="O25" s="192">
        <f>'[1]Cl Enr. sc'!AU25/'[1]Cl Enr'!AX26*100</f>
        <v>16.887726138558961</v>
      </c>
      <c r="P25" s="192">
        <f>'[1]Cl Enr. sc'!AV25/'[1]Cl Enr'!AY26*100</f>
        <v>18.915822365060148</v>
      </c>
      <c r="Q25" s="192">
        <f>'[1]Cl Enr. sc'!AW25/'[1]Cl Enr'!AZ26*100</f>
        <v>19.125093173050523</v>
      </c>
      <c r="R25" s="192">
        <f>'[1]Cl Enr. sc'!AX25/'[1]Cl Enr'!BA26*100</f>
        <v>19.01665478716518</v>
      </c>
      <c r="S25" s="192">
        <f>'[1]Cl Enr. sc'!BE25/'[1]Cl Enr'!BH26*100</f>
        <v>13.414123152686166</v>
      </c>
      <c r="T25" s="192">
        <f>'[1]Cl Enr. sc'!BF25/'[1]Cl Enr'!BI26*100</f>
        <v>11.406616197035358</v>
      </c>
      <c r="U25" s="192">
        <f>'[1]Cl Enr. sc'!BG25/'[1]Cl Enr'!BJ26*100</f>
        <v>12.530983345462984</v>
      </c>
      <c r="V25" s="192">
        <f>'[1]Cl Enr. sc'!BH25/'[1]Cl Enr'!BK26*100</f>
        <v>18.627915708683883</v>
      </c>
      <c r="W25" s="192">
        <f>'[1]Cl Enr. sc'!BI25/'[1]Cl Enr'!BL26*100</f>
        <v>18.78111216983201</v>
      </c>
      <c r="X25" s="192">
        <f>'[1]Cl Enr. sc'!BJ25/'[1]Cl Enr'!BM26*100</f>
        <v>18.701417912236344</v>
      </c>
      <c r="Y25" s="192">
        <f>'[1]Cl Enr. st'!U25/'[1]Cl Enr'!X26*100</f>
        <v>29.433419504997278</v>
      </c>
      <c r="Z25" s="192">
        <f>'[1]Cl Enr. st'!V25/'[1]Cl Enr'!Y26*100</f>
        <v>29.798721994998949</v>
      </c>
      <c r="AA25" s="192">
        <f>'[1]Cl Enr. st'!W25/'[1]Cl Enr'!Z26*100</f>
        <v>29.611005187947654</v>
      </c>
      <c r="AB25" s="192">
        <f>'[1]Cl Enr. st'!AG25/'[1]Cl Enr'!AJ26*100</f>
        <v>20.243198063067936</v>
      </c>
      <c r="AC25" s="192">
        <f>'[1]Cl Enr. st'!AH25/'[1]Cl Enr'!AK26*100</f>
        <v>18.580184473831732</v>
      </c>
      <c r="AD25" s="192">
        <f>'[1]Cl Enr. st'!AI25/'[1]Cl Enr'!AL26*100</f>
        <v>19.447561873545201</v>
      </c>
      <c r="AE25" s="192">
        <f>('[1]Cl Enr. st'!U25+'[1]Cl Enr. st'!AG25)/('[1]Cl Enr'!X26+'[1]Cl Enr'!AJ26)*100</f>
        <v>26.552998145997837</v>
      </c>
      <c r="AF25" s="192">
        <f>('[1]Cl Enr. st'!V25+'[1]Cl Enr. st'!AH25)/('[1]Cl Enr'!Y26+'[1]Cl Enr'!AK26)*100</f>
        <v>26.356626047220104</v>
      </c>
      <c r="AG25" s="192">
        <f>('[1]Cl Enr. st'!W25+'[1]Cl Enr. st'!AI25)/('[1]Cl Enr'!Z26+'[1]Cl Enr'!AL26)*100</f>
        <v>26.458004404227996</v>
      </c>
      <c r="AH25" s="192">
        <f>'[1]Cl Enr. st'!AS25/'[1]Cl Enr'!AV26*100</f>
        <v>15.097067498417715</v>
      </c>
      <c r="AI25" s="192">
        <f>'[1]Cl Enr. st'!AT25/'[1]Cl Enr'!AW26*100</f>
        <v>13.671917231913284</v>
      </c>
      <c r="AJ25" s="192">
        <f>'[1]Cl Enr. st'!AU25/'[1]Cl Enr'!AX26*100</f>
        <v>14.429961406272691</v>
      </c>
      <c r="AK25" s="192">
        <f>'[1]Cl Enr. st'!AV25/'[1]Cl Enr'!AY26*100</f>
        <v>25.11305811843733</v>
      </c>
      <c r="AL25" s="192">
        <f>'[1]Cl Enr. st'!AW25/'[1]Cl Enr'!AZ26*100</f>
        <v>24.847665906743632</v>
      </c>
      <c r="AM25" s="192">
        <f>'[1]Cl Enr. st'!AX25/'[1]Cl Enr'!BA26*100</f>
        <v>24.985184862870227</v>
      </c>
      <c r="AN25" s="192">
        <f>'[1]Cl Enr. st'!BE25/'[1]Cl Enr'!BH26*100</f>
        <v>14.071835143571418</v>
      </c>
      <c r="AO25" s="192">
        <f>'[1]Cl Enr. st'!BF25/'[1]Cl Enr'!BI26*100</f>
        <v>12.141482800165434</v>
      </c>
      <c r="AP25" s="192">
        <f>'[1]Cl Enr. st'!BG25/'[1]Cl Enr'!BJ26*100</f>
        <v>13.22263709141537</v>
      </c>
      <c r="AQ25" s="192">
        <f>'[1]Cl Enr. st'!BH25/'[1]Cl Enr'!BK26*100</f>
        <v>24.535265428162869</v>
      </c>
      <c r="AR25" s="192">
        <f>'[1]Cl Enr. st'!BI25/'[1]Cl Enr'!BL26*100</f>
        <v>24.281403206775671</v>
      </c>
      <c r="AS25" s="192">
        <f>'[1]Cl Enr. st'!BJ25/'[1]Cl Enr'!BM26*100</f>
        <v>24.413464751235743</v>
      </c>
      <c r="AT25" s="192">
        <f>'Rural enrl'!V25/'[1]Cl Enr'!X26*100</f>
        <v>0</v>
      </c>
      <c r="AU25" s="192">
        <f>'Rural enrl'!W25/'[1]Cl Enr'!Y26*100</f>
        <v>0</v>
      </c>
      <c r="AV25" s="192">
        <f>'Rural enrl'!X25/'[1]Cl Enr'!Z26*100</f>
        <v>0</v>
      </c>
      <c r="AW25" s="192">
        <f>'Rural enrl'!AH25/'[1]Cl Enr'!AJ26*100</f>
        <v>0</v>
      </c>
      <c r="AX25" s="192">
        <f>'Rural enrl'!AI25/'[1]Cl Enr'!AK26*100</f>
        <v>0</v>
      </c>
      <c r="AY25" s="192">
        <f>'Rural enrl'!AJ25/'[1]Cl Enr'!AL26*100</f>
        <v>0</v>
      </c>
      <c r="AZ25" s="192">
        <f>('Rural enrl'!V25+'Rural enrl'!AH25)/('[1]Cl Enr'!X26+'[1]Cl Enr'!AJ26)*100</f>
        <v>0</v>
      </c>
      <c r="BA25" s="192">
        <f>('Rural enrl'!W25+'Rural enrl'!AI25)/('[1]Cl Enr'!Y26+'[1]Cl Enr'!AK26)*100</f>
        <v>0</v>
      </c>
      <c r="BB25" s="192">
        <f>('Rural enrl'!X25+'Rural enrl'!AJ25)/('[1]Cl Enr'!Z26+'[1]Cl Enr'!AL26)*100</f>
        <v>0</v>
      </c>
      <c r="BC25" s="191">
        <f>'Rural enrl'!AT25/'[1]Cl Enr'!AV26*100</f>
        <v>0</v>
      </c>
      <c r="BD25" s="191">
        <f>'Rural enrl'!AU25/'[1]Cl Enr'!AW26*100</f>
        <v>0</v>
      </c>
      <c r="BE25" s="191">
        <f>'Rural enrl'!AV25/'[1]Cl Enr'!AX26*100</f>
        <v>0</v>
      </c>
      <c r="BF25" s="191">
        <f>'Rural enrl'!AW25/'[1]Cl Enr'!AY26*100</f>
        <v>0</v>
      </c>
      <c r="BG25" s="191">
        <f>'Rural enrl'!AX25/'[1]Cl Enr'!AZ26*100</f>
        <v>0</v>
      </c>
      <c r="BH25" s="191">
        <f>'Rural enrl'!AY25/'[1]Cl Enr'!BA26*100</f>
        <v>0</v>
      </c>
      <c r="BI25" s="191">
        <f>'Rural enrl'!BF25/'[1]Cl Enr'!BH26*100</f>
        <v>0</v>
      </c>
      <c r="BJ25" s="191">
        <f>'Rural enrl'!BG25/'[1]Cl Enr'!BI26*100</f>
        <v>0</v>
      </c>
      <c r="BK25" s="191">
        <f>'Rural enrl'!BH25/'[1]Cl Enr'!BJ26*100</f>
        <v>0</v>
      </c>
      <c r="BL25" s="191">
        <f>'Rural enrl'!BI25/'[1]Cl Enr'!BK26*100</f>
        <v>0</v>
      </c>
      <c r="BM25" s="191">
        <f>'Rural enrl'!BJ25/'[1]Cl Enr'!BL26*100</f>
        <v>0</v>
      </c>
      <c r="BN25" s="191">
        <f>'Rural enrl'!BK25/'[1]Cl Enr'!BM26*100</f>
        <v>0</v>
      </c>
    </row>
    <row r="26" spans="2:66" ht="21.95" customHeight="1">
      <c r="B26" s="169">
        <v>21</v>
      </c>
      <c r="C26" s="173" t="s">
        <v>56</v>
      </c>
      <c r="D26" s="192">
        <f>'[1]Cl Enr. sc'!U26/'[1]Cl Enr'!X27*100</f>
        <v>38.726514542721333</v>
      </c>
      <c r="E26" s="192">
        <f>'[1]Cl Enr. sc'!V26/'[1]Cl Enr'!Y27*100</f>
        <v>42.215388500108219</v>
      </c>
      <c r="F26" s="192">
        <f>'[1]Cl Enr. sc'!W26/'[1]Cl Enr'!Z27*100</f>
        <v>40.271638871349161</v>
      </c>
      <c r="G26" s="192">
        <f>'[1]Cl Enr. sc'!AG26/'[1]Cl Enr'!AJ27*100</f>
        <v>34.008368245841424</v>
      </c>
      <c r="H26" s="192">
        <f>'[1]Cl Enr. sc'!AH26/'[1]Cl Enr'!AK27*100</f>
        <v>37.483936111621077</v>
      </c>
      <c r="I26" s="192">
        <f>'[1]Cl Enr. sc'!AI26/'[1]Cl Enr'!AL27*100</f>
        <v>35.543302002942859</v>
      </c>
      <c r="J26" s="192">
        <f>('[1]Cl Enr. sc'!U26+'[1]Cl Enr. sc'!AG26)/('[1]Cl Enr'!X27+'[1]Cl Enr'!AJ27)*100</f>
        <v>37.085728259339803</v>
      </c>
      <c r="K26" s="192">
        <f>('[1]Cl Enr. sc'!V26+'[1]Cl Enr. sc'!AH26)/('[1]Cl Enr'!Y27+'[1]Cl Enr'!AK27)*100</f>
        <v>40.575350763276916</v>
      </c>
      <c r="L26" s="192">
        <f>('[1]Cl Enr. sc'!W26+'[1]Cl Enr. sc'!AI26)/('[1]Cl Enr'!Z27+'[1]Cl Enr'!AL27)*100</f>
        <v>38.629685660053411</v>
      </c>
      <c r="M26" s="192">
        <f>'[1]Cl Enr. sc'!AS26/'[1]Cl Enr'!AV27*100</f>
        <v>32.629599012005208</v>
      </c>
      <c r="N26" s="192">
        <f>'[1]Cl Enr. sc'!AT26/'[1]Cl Enr'!AW27*100</f>
        <v>35.27780764681485</v>
      </c>
      <c r="O26" s="192">
        <f>'[1]Cl Enr. sc'!AU26/'[1]Cl Enr'!AX27*100</f>
        <v>33.862796258112283</v>
      </c>
      <c r="P26" s="192">
        <f>'[1]Cl Enr. sc'!AV26/'[1]Cl Enr'!AY27*100</f>
        <v>36.539501376404608</v>
      </c>
      <c r="Q26" s="192">
        <f>'[1]Cl Enr. sc'!AW26/'[1]Cl Enr'!AZ27*100</f>
        <v>39.870664993829024</v>
      </c>
      <c r="R26" s="192">
        <f>'[1]Cl Enr. sc'!AX26/'[1]Cl Enr'!BA27*100</f>
        <v>38.0231951221621</v>
      </c>
      <c r="S26" s="192">
        <f>'[1]Cl Enr. sc'!BE26/'[1]Cl Enr'!BH27*100</f>
        <v>20.280706106081276</v>
      </c>
      <c r="T26" s="192">
        <f>'[1]Cl Enr. sc'!BF26/'[1]Cl Enr'!BI27*100</f>
        <v>19.938338840991747</v>
      </c>
      <c r="U26" s="192">
        <f>'[1]Cl Enr. sc'!BG26/'[1]Cl Enr'!BJ27*100</f>
        <v>20.118938062360705</v>
      </c>
      <c r="V26" s="192">
        <f>'[1]Cl Enr. sc'!BH26/'[1]Cl Enr'!BK27*100</f>
        <v>35.071695155631858</v>
      </c>
      <c r="W26" s="192">
        <f>'[1]Cl Enr. sc'!BI26/'[1]Cl Enr'!BL27*100</f>
        <v>37.884344730524049</v>
      </c>
      <c r="X26" s="192">
        <f>'[1]Cl Enr. sc'!BJ26/'[1]Cl Enr'!BM27*100</f>
        <v>36.331645246228589</v>
      </c>
      <c r="Y26" s="193" t="s">
        <v>168</v>
      </c>
      <c r="Z26" s="193" t="s">
        <v>168</v>
      </c>
      <c r="AA26" s="193" t="s">
        <v>168</v>
      </c>
      <c r="AB26" s="193" t="s">
        <v>168</v>
      </c>
      <c r="AC26" s="193" t="s">
        <v>168</v>
      </c>
      <c r="AD26" s="193" t="s">
        <v>168</v>
      </c>
      <c r="AE26" s="193" t="s">
        <v>168</v>
      </c>
      <c r="AF26" s="193" t="s">
        <v>168</v>
      </c>
      <c r="AG26" s="193" t="s">
        <v>168</v>
      </c>
      <c r="AH26" s="193" t="s">
        <v>168</v>
      </c>
      <c r="AI26" s="193" t="s">
        <v>168</v>
      </c>
      <c r="AJ26" s="193" t="s">
        <v>168</v>
      </c>
      <c r="AK26" s="193" t="s">
        <v>168</v>
      </c>
      <c r="AL26" s="193" t="s">
        <v>168</v>
      </c>
      <c r="AM26" s="193" t="s">
        <v>168</v>
      </c>
      <c r="AN26" s="193" t="s">
        <v>168</v>
      </c>
      <c r="AO26" s="193" t="s">
        <v>168</v>
      </c>
      <c r="AP26" s="193" t="s">
        <v>168</v>
      </c>
      <c r="AQ26" s="193" t="s">
        <v>168</v>
      </c>
      <c r="AR26" s="193" t="s">
        <v>168</v>
      </c>
      <c r="AS26" s="193" t="s">
        <v>168</v>
      </c>
      <c r="AT26" s="192">
        <f>'Rural enrl'!V26/'[1]Cl Enr'!X27*100</f>
        <v>0</v>
      </c>
      <c r="AU26" s="192">
        <f>'Rural enrl'!W26/'[1]Cl Enr'!Y27*100</f>
        <v>0</v>
      </c>
      <c r="AV26" s="192">
        <f>'Rural enrl'!X26/'[1]Cl Enr'!Z27*100</f>
        <v>0</v>
      </c>
      <c r="AW26" s="192">
        <f>'Rural enrl'!AH26/'[1]Cl Enr'!AJ27*100</f>
        <v>0</v>
      </c>
      <c r="AX26" s="192">
        <f>'Rural enrl'!AI26/'[1]Cl Enr'!AK27*100</f>
        <v>0</v>
      </c>
      <c r="AY26" s="192">
        <f>'Rural enrl'!AJ26/'[1]Cl Enr'!AL27*100</f>
        <v>0</v>
      </c>
      <c r="AZ26" s="192">
        <f>('Rural enrl'!V26+'Rural enrl'!AH26)/('[1]Cl Enr'!X27+'[1]Cl Enr'!AJ27)*100</f>
        <v>0</v>
      </c>
      <c r="BA26" s="192">
        <f>('Rural enrl'!W26+'Rural enrl'!AI26)/('[1]Cl Enr'!Y27+'[1]Cl Enr'!AK27)*100</f>
        <v>0</v>
      </c>
      <c r="BB26" s="192">
        <f>('Rural enrl'!X26+'Rural enrl'!AJ26)/('[1]Cl Enr'!Z27+'[1]Cl Enr'!AL27)*100</f>
        <v>0</v>
      </c>
      <c r="BC26" s="191">
        <f>'Rural enrl'!AT26/'[1]Cl Enr'!AV27*100</f>
        <v>0</v>
      </c>
      <c r="BD26" s="191">
        <f>'Rural enrl'!AU26/'[1]Cl Enr'!AW27*100</f>
        <v>0</v>
      </c>
      <c r="BE26" s="191">
        <f>'Rural enrl'!AV26/'[1]Cl Enr'!AX27*100</f>
        <v>0</v>
      </c>
      <c r="BF26" s="191">
        <f>'Rural enrl'!AW26/'[1]Cl Enr'!AY27*100</f>
        <v>0</v>
      </c>
      <c r="BG26" s="191">
        <f>'Rural enrl'!AX26/'[1]Cl Enr'!AZ27*100</f>
        <v>0</v>
      </c>
      <c r="BH26" s="191">
        <f>'Rural enrl'!AY26/'[1]Cl Enr'!BA27*100</f>
        <v>0</v>
      </c>
      <c r="BI26" s="191">
        <f>'Rural enrl'!BF26/'[1]Cl Enr'!BH27*100</f>
        <v>0</v>
      </c>
      <c r="BJ26" s="191">
        <f>'Rural enrl'!BG26/'[1]Cl Enr'!BI27*100</f>
        <v>0</v>
      </c>
      <c r="BK26" s="191">
        <f>'Rural enrl'!BH26/'[1]Cl Enr'!BJ27*100</f>
        <v>0</v>
      </c>
      <c r="BL26" s="191">
        <f>'Rural enrl'!BI26/'[1]Cl Enr'!BK27*100</f>
        <v>0</v>
      </c>
      <c r="BM26" s="191">
        <f>'Rural enrl'!BJ26/'[1]Cl Enr'!BL27*100</f>
        <v>0</v>
      </c>
      <c r="BN26" s="191">
        <f>'Rural enrl'!BK26/'[1]Cl Enr'!BM27*100</f>
        <v>0</v>
      </c>
    </row>
    <row r="27" spans="2:66" ht="21.95" customHeight="1">
      <c r="B27" s="169">
        <v>22</v>
      </c>
      <c r="C27" s="173" t="s">
        <v>32</v>
      </c>
      <c r="D27" s="192">
        <f>'[1]Cl Enr. sc'!U27/'[1]Cl Enr'!X28*100</f>
        <v>20.231213995108</v>
      </c>
      <c r="E27" s="192">
        <f>'[1]Cl Enr. sc'!V27/'[1]Cl Enr'!Y28*100</f>
        <v>19.947628072865843</v>
      </c>
      <c r="F27" s="192">
        <f>'[1]Cl Enr. sc'!W27/'[1]Cl Enr'!Z28*100</f>
        <v>20.099986862077728</v>
      </c>
      <c r="G27" s="192">
        <f>'[1]Cl Enr. sc'!AG27/'[1]Cl Enr'!AJ28*100</f>
        <v>17.971584523305076</v>
      </c>
      <c r="H27" s="192">
        <f>'[1]Cl Enr. sc'!AH27/'[1]Cl Enr'!AK28*100</f>
        <v>17.621118453338109</v>
      </c>
      <c r="I27" s="192">
        <f>'[1]Cl Enr. sc'!AI27/'[1]Cl Enr'!AL28*100</f>
        <v>17.827045172367004</v>
      </c>
      <c r="J27" s="192">
        <f>('[1]Cl Enr. sc'!U27+'[1]Cl Enr. sc'!AG27)/('[1]Cl Enr'!X28+'[1]Cl Enr'!AJ28)*100</f>
        <v>19.489912864283738</v>
      </c>
      <c r="K27" s="192">
        <f>('[1]Cl Enr. sc'!V27+'[1]Cl Enr. sc'!AH27)/('[1]Cl Enr'!Y28+'[1]Cl Enr'!AK28)*100</f>
        <v>19.285437690146903</v>
      </c>
      <c r="L27" s="192">
        <f>('[1]Cl Enr. sc'!W27+'[1]Cl Enr. sc'!AI27)/('[1]Cl Enr'!Z28+'[1]Cl Enr'!AL28)*100</f>
        <v>19.39846934850863</v>
      </c>
      <c r="M27" s="192">
        <f>'[1]Cl Enr. sc'!AS27/'[1]Cl Enr'!AV28*100</f>
        <v>15.786994725682025</v>
      </c>
      <c r="N27" s="192">
        <f>'[1]Cl Enr. sc'!AT27/'[1]Cl Enr'!AW28*100</f>
        <v>14.587389203179038</v>
      </c>
      <c r="O27" s="192">
        <f>'[1]Cl Enr. sc'!AU27/'[1]Cl Enr'!AX28*100</f>
        <v>15.340340567977151</v>
      </c>
      <c r="P27" s="192">
        <f>'[1]Cl Enr. sc'!AV27/'[1]Cl Enr'!AY28*100</f>
        <v>18.987647210302118</v>
      </c>
      <c r="Q27" s="192">
        <f>'[1]Cl Enr. sc'!AW27/'[1]Cl Enr'!AZ28*100</f>
        <v>18.800636627644522</v>
      </c>
      <c r="R27" s="192">
        <f>'[1]Cl Enr. sc'!AX27/'[1]Cl Enr'!BA28*100</f>
        <v>18.905714319047092</v>
      </c>
      <c r="S27" s="192">
        <f>'[1]Cl Enr. sc'!BE27/'[1]Cl Enr'!BH28*100</f>
        <v>15.076975131111487</v>
      </c>
      <c r="T27" s="192">
        <f>'[1]Cl Enr. sc'!BF27/'[1]Cl Enr'!BI28*100</f>
        <v>13.214748667722887</v>
      </c>
      <c r="U27" s="192">
        <f>'[1]Cl Enr. sc'!BG27/'[1]Cl Enr'!BJ28*100</f>
        <v>14.414987574512628</v>
      </c>
      <c r="V27" s="192">
        <f>'[1]Cl Enr. sc'!BH27/'[1]Cl Enr'!BK28*100</f>
        <v>18.686218986633733</v>
      </c>
      <c r="W27" s="192">
        <f>'[1]Cl Enr. sc'!BI27/'[1]Cl Enr'!BL28*100</f>
        <v>18.489058004855767</v>
      </c>
      <c r="X27" s="192">
        <f>'[1]Cl Enr. sc'!BJ27/'[1]Cl Enr'!BM28*100</f>
        <v>18.600944749344141</v>
      </c>
      <c r="Y27" s="192">
        <f>'[1]Cl Enr. st'!U27/'[1]Cl Enr'!X28*100</f>
        <v>15.073290110716266</v>
      </c>
      <c r="Z27" s="192">
        <f>'[1]Cl Enr. st'!V27/'[1]Cl Enr'!Y28*100</f>
        <v>14.888053900546879</v>
      </c>
      <c r="AA27" s="192">
        <f>'[1]Cl Enr. st'!W27/'[1]Cl Enr'!Z28*100</f>
        <v>14.987573525768283</v>
      </c>
      <c r="AB27" s="192">
        <f>'[1]Cl Enr. st'!AG27/'[1]Cl Enr'!AJ28*100</f>
        <v>12.376615982925758</v>
      </c>
      <c r="AC27" s="192">
        <f>'[1]Cl Enr. st'!AH27/'[1]Cl Enr'!AK28*100</f>
        <v>11.766013067860902</v>
      </c>
      <c r="AD27" s="192">
        <f>'[1]Cl Enr. st'!AI27/'[1]Cl Enr'!AL28*100</f>
        <v>12.124790894600695</v>
      </c>
      <c r="AE27" s="192">
        <f>('[1]Cl Enr. st'!U27+'[1]Cl Enr. st'!AG27)/('[1]Cl Enr'!X28+'[1]Cl Enr'!AJ28)*100</f>
        <v>14.188610739456065</v>
      </c>
      <c r="AF27" s="192">
        <f>('[1]Cl Enr. st'!V27+'[1]Cl Enr. st'!AH27)/('[1]Cl Enr'!Y28+'[1]Cl Enr'!AK28)*100</f>
        <v>13.999432853589783</v>
      </c>
      <c r="AG27" s="192">
        <f>('[1]Cl Enr. st'!W27+'[1]Cl Enr. st'!AI27)/('[1]Cl Enr'!Z28+'[1]Cl Enr'!AL28)*100</f>
        <v>14.104008336922162</v>
      </c>
      <c r="AH27" s="192">
        <f>'[1]Cl Enr. st'!AS27/'[1]Cl Enr'!AV28*100</f>
        <v>11.475060890610663</v>
      </c>
      <c r="AI27" s="192">
        <f>'[1]Cl Enr. st'!AT27/'[1]Cl Enr'!AW28*100</f>
        <v>11.858485452310605</v>
      </c>
      <c r="AJ27" s="192">
        <f>'[1]Cl Enr. st'!AU27/'[1]Cl Enr'!AX28*100</f>
        <v>11.617822966507177</v>
      </c>
      <c r="AK27" s="192">
        <f>'[1]Cl Enr. st'!AV27/'[1]Cl Enr'!AY28*100</f>
        <v>13.820543491294664</v>
      </c>
      <c r="AL27" s="192">
        <f>'[1]Cl Enr. st'!AW27/'[1]Cl Enr'!AZ28*100</f>
        <v>13.778504189745416</v>
      </c>
      <c r="AM27" s="192">
        <f>'[1]Cl Enr. st'!AX27/'[1]Cl Enr'!BA28*100</f>
        <v>13.802125274136451</v>
      </c>
      <c r="AN27" s="192">
        <f>'[1]Cl Enr. st'!BE27/'[1]Cl Enr'!BH28*100</f>
        <v>10.479356836553809</v>
      </c>
      <c r="AO27" s="192">
        <f>'[1]Cl Enr. st'!BF27/'[1]Cl Enr'!BI28*100</f>
        <v>9.9121950699078738</v>
      </c>
      <c r="AP27" s="192">
        <f>'[1]Cl Enr. st'!BG27/'[1]Cl Enr'!BJ28*100</f>
        <v>10.277741168706925</v>
      </c>
      <c r="AQ27" s="192">
        <f>'[1]Cl Enr. st'!BH27/'[1]Cl Enr'!BK28*100</f>
        <v>13.563010275036991</v>
      </c>
      <c r="AR27" s="192">
        <f>'[1]Cl Enr. st'!BI27/'[1]Cl Enr'!BL28*100</f>
        <v>13.562842995056601</v>
      </c>
      <c r="AS27" s="192">
        <f>'[1]Cl Enr. st'!BJ27/'[1]Cl Enr'!BM28*100</f>
        <v>13.56293792465299</v>
      </c>
      <c r="AT27" s="192">
        <f>'Rural enrl'!V27/'[1]Cl Enr'!X28*100</f>
        <v>0</v>
      </c>
      <c r="AU27" s="192">
        <f>'Rural enrl'!W27/'[1]Cl Enr'!Y28*100</f>
        <v>0</v>
      </c>
      <c r="AV27" s="192">
        <f>'Rural enrl'!X27/'[1]Cl Enr'!Z28*100</f>
        <v>0</v>
      </c>
      <c r="AW27" s="192">
        <f>'Rural enrl'!AH27/'[1]Cl Enr'!AJ28*100</f>
        <v>0</v>
      </c>
      <c r="AX27" s="192">
        <f>'Rural enrl'!AI27/'[1]Cl Enr'!AK28*100</f>
        <v>0</v>
      </c>
      <c r="AY27" s="192">
        <f>'Rural enrl'!AJ27/'[1]Cl Enr'!AL28*100</f>
        <v>0</v>
      </c>
      <c r="AZ27" s="192">
        <f>('Rural enrl'!V27+'Rural enrl'!AH27)/('[1]Cl Enr'!X28+'[1]Cl Enr'!AJ28)*100</f>
        <v>0</v>
      </c>
      <c r="BA27" s="192">
        <f>('Rural enrl'!W27+'Rural enrl'!AI27)/('[1]Cl Enr'!Y28+'[1]Cl Enr'!AK28)*100</f>
        <v>0</v>
      </c>
      <c r="BB27" s="192">
        <f>('Rural enrl'!X27+'Rural enrl'!AJ27)/('[1]Cl Enr'!Z28+'[1]Cl Enr'!AL28)*100</f>
        <v>0</v>
      </c>
      <c r="BC27" s="191">
        <f>'Rural enrl'!AT27/'[1]Cl Enr'!AV28*100</f>
        <v>0</v>
      </c>
      <c r="BD27" s="191">
        <f>'Rural enrl'!AU27/'[1]Cl Enr'!AW28*100</f>
        <v>0</v>
      </c>
      <c r="BE27" s="191">
        <f>'Rural enrl'!AV27/'[1]Cl Enr'!AX28*100</f>
        <v>0</v>
      </c>
      <c r="BF27" s="191">
        <f>'Rural enrl'!AW27/'[1]Cl Enr'!AY28*100</f>
        <v>0</v>
      </c>
      <c r="BG27" s="191">
        <f>'Rural enrl'!AX27/'[1]Cl Enr'!AZ28*100</f>
        <v>0</v>
      </c>
      <c r="BH27" s="191">
        <f>'Rural enrl'!AY27/'[1]Cl Enr'!BA28*100</f>
        <v>0</v>
      </c>
      <c r="BI27" s="191">
        <f>'Rural enrl'!BF27/'[1]Cl Enr'!BH28*100</f>
        <v>0</v>
      </c>
      <c r="BJ27" s="191">
        <f>'Rural enrl'!BG27/'[1]Cl Enr'!BI28*100</f>
        <v>0</v>
      </c>
      <c r="BK27" s="191">
        <f>'Rural enrl'!BH27/'[1]Cl Enr'!BJ28*100</f>
        <v>0</v>
      </c>
      <c r="BL27" s="191">
        <f>'Rural enrl'!BI27/'[1]Cl Enr'!BK28*100</f>
        <v>0</v>
      </c>
      <c r="BM27" s="191">
        <f>'Rural enrl'!BJ27/'[1]Cl Enr'!BL28*100</f>
        <v>0</v>
      </c>
      <c r="BN27" s="191">
        <f>'Rural enrl'!BK27/'[1]Cl Enr'!BM28*100</f>
        <v>0</v>
      </c>
    </row>
    <row r="28" spans="2:66" ht="21.95" customHeight="1">
      <c r="B28" s="169">
        <v>23</v>
      </c>
      <c r="C28" s="173" t="s">
        <v>33</v>
      </c>
      <c r="D28" s="192">
        <f>'[1]Cl Enr. sc'!U28/'[1]Cl Enr'!X29*100</f>
        <v>7.6249879121941779</v>
      </c>
      <c r="E28" s="192">
        <f>'[1]Cl Enr. sc'!V28/'[1]Cl Enr'!Y29*100</f>
        <v>7.392986334405145</v>
      </c>
      <c r="F28" s="192">
        <f>'[1]Cl Enr. sc'!W28/'[1]Cl Enr'!Z29*100</f>
        <v>7.5112107623318378</v>
      </c>
      <c r="G28" s="192">
        <f>'[1]Cl Enr. sc'!AG28/'[1]Cl Enr'!AJ29*100</f>
        <v>5.4851485148514856</v>
      </c>
      <c r="H28" s="192">
        <f>'[1]Cl Enr. sc'!AH28/'[1]Cl Enr'!AK29*100</f>
        <v>5.7642163661581138</v>
      </c>
      <c r="I28" s="192">
        <f>'[1]Cl Enr. sc'!AI28/'[1]Cl Enr'!AL29*100</f>
        <v>5.6367746797287115</v>
      </c>
      <c r="J28" s="192">
        <f>('[1]Cl Enr. sc'!U28+'[1]Cl Enr. sc'!AG28)/('[1]Cl Enr'!X29+'[1]Cl Enr'!AJ29)*100</f>
        <v>7.0513501079378562</v>
      </c>
      <c r="K28" s="192">
        <f>('[1]Cl Enr. sc'!V28+'[1]Cl Enr. sc'!AH28)/('[1]Cl Enr'!Y29+'[1]Cl Enr'!AK29)*100</f>
        <v>6.8853422786298486</v>
      </c>
      <c r="L28" s="192">
        <f>('[1]Cl Enr. sc'!W28+'[1]Cl Enr. sc'!AI28)/('[1]Cl Enr'!Z29+'[1]Cl Enr'!AL29)*100</f>
        <v>6.9673887377893609</v>
      </c>
      <c r="M28" s="192">
        <f>'[1]Cl Enr. sc'!AS28/'[1]Cl Enr'!AV29*100</f>
        <v>5.5923848376678569</v>
      </c>
      <c r="N28" s="192">
        <f>'[1]Cl Enr. sc'!AT28/'[1]Cl Enr'!AW29*100</f>
        <v>4.8613182224873253</v>
      </c>
      <c r="O28" s="192">
        <f>'[1]Cl Enr. sc'!AU28/'[1]Cl Enr'!AX29*100</f>
        <v>5.2029549606799588</v>
      </c>
      <c r="P28" s="192">
        <f>'[1]Cl Enr. sc'!AV28/'[1]Cl Enr'!AY29*100</f>
        <v>6.9137939324005959</v>
      </c>
      <c r="Q28" s="192">
        <f>'[1]Cl Enr. sc'!AW28/'[1]Cl Enr'!AZ29*100</f>
        <v>6.6750337005531541</v>
      </c>
      <c r="R28" s="192">
        <f>'[1]Cl Enr. sc'!AX28/'[1]Cl Enr'!BA29*100</f>
        <v>6.7923993193420307</v>
      </c>
      <c r="S28" s="192">
        <f>'[1]Cl Enr. sc'!BE28/'[1]Cl Enr'!BH29*100</f>
        <v>4.4395388766249697</v>
      </c>
      <c r="T28" s="192">
        <f>'[1]Cl Enr. sc'!BF28/'[1]Cl Enr'!BI29*100</f>
        <v>3.9640470154413459</v>
      </c>
      <c r="U28" s="192">
        <f>'[1]Cl Enr. sc'!BG28/'[1]Cl Enr'!BJ29*100</f>
        <v>4.1943916349809891</v>
      </c>
      <c r="V28" s="192">
        <f>'[1]Cl Enr. sc'!BH28/'[1]Cl Enr'!BK29*100</f>
        <v>6.7620423022535121</v>
      </c>
      <c r="W28" s="192">
        <f>'[1]Cl Enr. sc'!BI28/'[1]Cl Enr'!BL29*100</f>
        <v>6.5042538981968114</v>
      </c>
      <c r="X28" s="192">
        <f>'[1]Cl Enr. sc'!BJ28/'[1]Cl Enr'!BM29*100</f>
        <v>6.6308587978012881</v>
      </c>
      <c r="Y28" s="192">
        <f>'[1]Cl Enr. st'!U28/'[1]Cl Enr'!X29*100</f>
        <v>36.057924765496566</v>
      </c>
      <c r="Z28" s="192">
        <f>'[1]Cl Enr. st'!V28/'[1]Cl Enr'!Y29*100</f>
        <v>38.200864147909968</v>
      </c>
      <c r="AA28" s="192">
        <f>'[1]Cl Enr. st'!W28/'[1]Cl Enr'!Z29*100</f>
        <v>37.108855270290249</v>
      </c>
      <c r="AB28" s="192">
        <f>'[1]Cl Enr. st'!AG28/'[1]Cl Enr'!AJ29*100</f>
        <v>34.970297029702969</v>
      </c>
      <c r="AC28" s="192">
        <f>'[1]Cl Enr. st'!AH28/'[1]Cl Enr'!AK29*100</f>
        <v>37.242718446601941</v>
      </c>
      <c r="AD28" s="192">
        <f>'[1]Cl Enr. st'!AI28/'[1]Cl Enr'!AL29*100</f>
        <v>36.204973624717404</v>
      </c>
      <c r="AE28" s="192">
        <f>('[1]Cl Enr. st'!U28+'[1]Cl Enr. st'!AG28)/('[1]Cl Enr'!X29+'[1]Cl Enr'!AJ29)*100</f>
        <v>35.766358778355809</v>
      </c>
      <c r="AF28" s="192">
        <f>('[1]Cl Enr. st'!V28+'[1]Cl Enr. st'!AH28)/('[1]Cl Enr'!Y29+'[1]Cl Enr'!AK29)*100</f>
        <v>37.902235747756471</v>
      </c>
      <c r="AG28" s="192">
        <f>('[1]Cl Enr. st'!W28+'[1]Cl Enr. st'!AI28)/('[1]Cl Enr'!Z29+'[1]Cl Enr'!AL29)*100</f>
        <v>36.846616002168837</v>
      </c>
      <c r="AH28" s="192">
        <f>'[1]Cl Enr. st'!AS28/'[1]Cl Enr'!AV29*100</f>
        <v>34.013258541560425</v>
      </c>
      <c r="AI28" s="192">
        <f>'[1]Cl Enr. st'!AT28/'[1]Cl Enr'!AW29*100</f>
        <v>38.249328959141067</v>
      </c>
      <c r="AJ28" s="192">
        <f>'[1]Cl Enr. st'!AU28/'[1]Cl Enr'!AX29*100</f>
        <v>36.269759313686549</v>
      </c>
      <c r="AK28" s="192">
        <f>'[1]Cl Enr. st'!AV28/'[1]Cl Enr'!AY29*100</f>
        <v>35.601070564289948</v>
      </c>
      <c r="AL28" s="192">
        <f>'[1]Cl Enr. st'!AW28/'[1]Cl Enr'!AZ29*100</f>
        <v>37.938300872340761</v>
      </c>
      <c r="AM28" s="192">
        <f>'[1]Cl Enr. st'!AX28/'[1]Cl Enr'!BA29*100</f>
        <v>36.78940568475452</v>
      </c>
      <c r="AN28" s="192">
        <f>'[1]Cl Enr. st'!BE28/'[1]Cl Enr'!BH29*100</f>
        <v>33.627667402501835</v>
      </c>
      <c r="AO28" s="192">
        <f>'[1]Cl Enr. st'!BF28/'[1]Cl Enr'!BI29*100</f>
        <v>38.349850195897673</v>
      </c>
      <c r="AP28" s="192">
        <f>'[1]Cl Enr. st'!BG28/'[1]Cl Enr'!BJ29*100</f>
        <v>36.062262357414447</v>
      </c>
      <c r="AQ28" s="192">
        <f>'[1]Cl Enr. st'!BH28/'[1]Cl Enr'!BK29*100</f>
        <v>35.4800373078196</v>
      </c>
      <c r="AR28" s="192">
        <f>'[1]Cl Enr. st'!BI28/'[1]Cl Enr'!BL29*100</f>
        <v>37.964226603559922</v>
      </c>
      <c r="AS28" s="192">
        <f>'[1]Cl Enr. st'!BJ28/'[1]Cl Enr'!BM29*100</f>
        <v>36.744192919203265</v>
      </c>
      <c r="AT28" s="192">
        <f>'Rural enrl'!V28/'[1]Cl Enr'!X29*100</f>
        <v>0</v>
      </c>
      <c r="AU28" s="192">
        <f>'Rural enrl'!W28/'[1]Cl Enr'!Y29*100</f>
        <v>0</v>
      </c>
      <c r="AV28" s="192">
        <f>'Rural enrl'!X28/'[1]Cl Enr'!Z29*100</f>
        <v>0</v>
      </c>
      <c r="AW28" s="192">
        <f>'Rural enrl'!AH28/'[1]Cl Enr'!AJ29*100</f>
        <v>0</v>
      </c>
      <c r="AX28" s="192">
        <f>'Rural enrl'!AI28/'[1]Cl Enr'!AK29*100</f>
        <v>0</v>
      </c>
      <c r="AY28" s="192">
        <f>'Rural enrl'!AJ28/'[1]Cl Enr'!AL29*100</f>
        <v>0</v>
      </c>
      <c r="AZ28" s="192">
        <f>('Rural enrl'!V28+'Rural enrl'!AH28)/('[1]Cl Enr'!X29+'[1]Cl Enr'!AJ29)*100</f>
        <v>0</v>
      </c>
      <c r="BA28" s="192">
        <f>('Rural enrl'!W28+'Rural enrl'!AI28)/('[1]Cl Enr'!Y29+'[1]Cl Enr'!AK29)*100</f>
        <v>0</v>
      </c>
      <c r="BB28" s="192">
        <f>('Rural enrl'!X28+'Rural enrl'!AJ28)/('[1]Cl Enr'!Z29+'[1]Cl Enr'!AL29)*100</f>
        <v>0</v>
      </c>
      <c r="BC28" s="191">
        <f>'Rural enrl'!AT28/'[1]Cl Enr'!AV29*100</f>
        <v>0</v>
      </c>
      <c r="BD28" s="191">
        <f>'Rural enrl'!AU28/'[1]Cl Enr'!AW29*100</f>
        <v>0</v>
      </c>
      <c r="BE28" s="191">
        <f>'Rural enrl'!AV28/'[1]Cl Enr'!AX29*100</f>
        <v>0</v>
      </c>
      <c r="BF28" s="191">
        <f>'Rural enrl'!AW28/'[1]Cl Enr'!AY29*100</f>
        <v>0</v>
      </c>
      <c r="BG28" s="191">
        <f>'Rural enrl'!AX28/'[1]Cl Enr'!AZ29*100</f>
        <v>0</v>
      </c>
      <c r="BH28" s="191">
        <f>'Rural enrl'!AY28/'[1]Cl Enr'!BA29*100</f>
        <v>0</v>
      </c>
      <c r="BI28" s="191">
        <f>'Rural enrl'!BF28/'[1]Cl Enr'!BH29*100</f>
        <v>0</v>
      </c>
      <c r="BJ28" s="191">
        <f>'Rural enrl'!BG28/'[1]Cl Enr'!BI29*100</f>
        <v>0</v>
      </c>
      <c r="BK28" s="191">
        <f>'Rural enrl'!BH28/'[1]Cl Enr'!BJ29*100</f>
        <v>0</v>
      </c>
      <c r="BL28" s="191">
        <f>'Rural enrl'!BI28/'[1]Cl Enr'!BK29*100</f>
        <v>0</v>
      </c>
      <c r="BM28" s="191">
        <f>'Rural enrl'!BJ28/'[1]Cl Enr'!BL29*100</f>
        <v>0</v>
      </c>
      <c r="BN28" s="191">
        <f>'Rural enrl'!BK28/'[1]Cl Enr'!BM29*100</f>
        <v>0</v>
      </c>
    </row>
    <row r="29" spans="2:66" ht="21.95" customHeight="1">
      <c r="B29" s="169">
        <v>24</v>
      </c>
      <c r="C29" s="173" t="s">
        <v>34</v>
      </c>
      <c r="D29" s="192">
        <f>'[1]Cl Enr. sc'!U29/'[1]Cl Enr'!X30*100</f>
        <v>24.554023428071684</v>
      </c>
      <c r="E29" s="192">
        <f>'[1]Cl Enr. sc'!V29/'[1]Cl Enr'!Y30*100</f>
        <v>24.747514007067814</v>
      </c>
      <c r="F29" s="192">
        <f>'[1]Cl Enr. sc'!W29/'[1]Cl Enr'!Z30*100</f>
        <v>24.647961375743975</v>
      </c>
      <c r="G29" s="192">
        <f>'[1]Cl Enr. sc'!AG29/'[1]Cl Enr'!AJ30*100</f>
        <v>25.034520251191672</v>
      </c>
      <c r="H29" s="192">
        <f>'[1]Cl Enr. sc'!AH29/'[1]Cl Enr'!AK30*100</f>
        <v>25.188603566968432</v>
      </c>
      <c r="I29" s="192">
        <f>'[1]Cl Enr. sc'!AI29/'[1]Cl Enr'!AL30*100</f>
        <v>25.10877690106576</v>
      </c>
      <c r="J29" s="192">
        <f>('[1]Cl Enr. sc'!U29+'[1]Cl Enr. sc'!AG29)/('[1]Cl Enr'!X30+'[1]Cl Enr'!AJ30)*100</f>
        <v>24.735439154029649</v>
      </c>
      <c r="K29" s="192">
        <f>('[1]Cl Enr. sc'!V29+'[1]Cl Enr. sc'!AH29)/('[1]Cl Enr'!Y30+'[1]Cl Enr'!AK30)*100</f>
        <v>24.912573711036522</v>
      </c>
      <c r="L29" s="192">
        <f>('[1]Cl Enr. sc'!W29+'[1]Cl Enr. sc'!AI29)/('[1]Cl Enr'!Z30+'[1]Cl Enr'!AL30)*100</f>
        <v>24.821198950362856</v>
      </c>
      <c r="M29" s="192">
        <f>'[1]Cl Enr. sc'!AS29/'[1]Cl Enr'!AV30*100</f>
        <v>26.330273965489653</v>
      </c>
      <c r="N29" s="192">
        <f>'[1]Cl Enr. sc'!AT29/'[1]Cl Enr'!AW30*100</f>
        <v>26.730471242366239</v>
      </c>
      <c r="O29" s="192">
        <f>'[1]Cl Enr. sc'!AU29/'[1]Cl Enr'!AX30*100</f>
        <v>26.529186214218786</v>
      </c>
      <c r="P29" s="192">
        <f>'[1]Cl Enr. sc'!AV29/'[1]Cl Enr'!AY30*100</f>
        <v>24.983419688265425</v>
      </c>
      <c r="Q29" s="192">
        <f>'[1]Cl Enr. sc'!AW29/'[1]Cl Enr'!AZ30*100</f>
        <v>25.207766217361936</v>
      </c>
      <c r="R29" s="192">
        <f>'[1]Cl Enr. sc'!AX29/'[1]Cl Enr'!BA30*100</f>
        <v>25.092496345609117</v>
      </c>
      <c r="S29" s="192">
        <f>'[1]Cl Enr. sc'!BE29/'[1]Cl Enr'!BH30*100</f>
        <v>24.223446338127104</v>
      </c>
      <c r="T29" s="192">
        <f>'[1]Cl Enr. sc'!BF29/'[1]Cl Enr'!BI30*100</f>
        <v>23.722225232605211</v>
      </c>
      <c r="U29" s="192">
        <f>'[1]Cl Enr. sc'!BG29/'[1]Cl Enr'!BJ30*100</f>
        <v>23.954287690061431</v>
      </c>
      <c r="V29" s="192">
        <f>'[1]Cl Enr. sc'!BH29/'[1]Cl Enr'!BK30*100</f>
        <v>24.921220740023525</v>
      </c>
      <c r="W29" s="192">
        <f>'[1]Cl Enr. sc'!BI29/'[1]Cl Enr'!BL30*100</f>
        <v>25.061445001837424</v>
      </c>
      <c r="X29" s="192">
        <f>'[1]Cl Enr. sc'!BJ29/'[1]Cl Enr'!BM30*100</f>
        <v>24.990038717264127</v>
      </c>
      <c r="Y29" s="192">
        <f>'[1]Cl Enr. st'!U29/'[1]Cl Enr'!X30*100</f>
        <v>1.7591742184634769</v>
      </c>
      <c r="Z29" s="192">
        <f>'[1]Cl Enr. st'!V29/'[1]Cl Enr'!Y30*100</f>
        <v>1.6952322485786973</v>
      </c>
      <c r="AA29" s="192">
        <f>'[1]Cl Enr. st'!W29/'[1]Cl Enr'!Z30*100</f>
        <v>1.7281309632710886</v>
      </c>
      <c r="AB29" s="192">
        <f>'[1]Cl Enr. st'!AG29/'[1]Cl Enr'!AJ30*100</f>
        <v>1.1699677948794271</v>
      </c>
      <c r="AC29" s="192">
        <f>'[1]Cl Enr. st'!AH29/'[1]Cl Enr'!AK30*100</f>
        <v>1.0522356883502437</v>
      </c>
      <c r="AD29" s="192">
        <f>'[1]Cl Enr. st'!AI29/'[1]Cl Enr'!AL30*100</f>
        <v>1.1132297128268394</v>
      </c>
      <c r="AE29" s="192">
        <f>('[1]Cl Enr. st'!U29+'[1]Cl Enr. st'!AG29)/('[1]Cl Enr'!X30+'[1]Cl Enr'!AJ30)*100</f>
        <v>1.5367142438490262</v>
      </c>
      <c r="AF29" s="192">
        <f>('[1]Cl Enr. st'!V29+'[1]Cl Enr. st'!AH29)/('[1]Cl Enr'!Y30+'[1]Cl Enr'!AK30)*100</f>
        <v>1.4546171183812862</v>
      </c>
      <c r="AG29" s="192">
        <f>('[1]Cl Enr. st'!W29+'[1]Cl Enr. st'!AI29)/('[1]Cl Enr'!Z30+'[1]Cl Enr'!AL30)*100</f>
        <v>1.496966873947726</v>
      </c>
      <c r="AH29" s="192">
        <f>'[1]Cl Enr. st'!AS29/'[1]Cl Enr'!AV30*100</f>
        <v>1.3598132376207932</v>
      </c>
      <c r="AI29" s="192">
        <f>'[1]Cl Enr. st'!AT29/'[1]Cl Enr'!AW30*100</f>
        <v>1.5811738969582914</v>
      </c>
      <c r="AJ29" s="192">
        <f>'[1]Cl Enr. st'!AU29/'[1]Cl Enr'!AX30*100</f>
        <v>1.469837340914639</v>
      </c>
      <c r="AK29" s="192">
        <f>'[1]Cl Enr. st'!AV29/'[1]Cl Enr'!AY30*100</f>
        <v>1.5092079430609437</v>
      </c>
      <c r="AL29" s="192">
        <f>'[1]Cl Enr. st'!AW29/'[1]Cl Enr'!AZ30*100</f>
        <v>1.4751675685671615</v>
      </c>
      <c r="AM29" s="192">
        <f>'[1]Cl Enr. st'!AX29/'[1]Cl Enr'!BA30*100</f>
        <v>1.4926576078297176</v>
      </c>
      <c r="AN29" s="192">
        <f>'[1]Cl Enr. st'!BE29/'[1]Cl Enr'!BH30*100</f>
        <v>0.92665163222300262</v>
      </c>
      <c r="AO29" s="192">
        <f>'[1]Cl Enr. st'!BF29/'[1]Cl Enr'!BI30*100</f>
        <v>0.68626107245425183</v>
      </c>
      <c r="AP29" s="192">
        <f>'[1]Cl Enr. st'!BG29/'[1]Cl Enr'!BJ30*100</f>
        <v>0.79756050385215127</v>
      </c>
      <c r="AQ29" s="192">
        <f>'[1]Cl Enr. st'!BH29/'[1]Cl Enr'!BK30*100</f>
        <v>1.461529442467199</v>
      </c>
      <c r="AR29" s="192">
        <f>'[1]Cl Enr. st'!BI29/'[1]Cl Enr'!BL30*100</f>
        <v>1.3974627064119587</v>
      </c>
      <c r="AS29" s="192">
        <f>'[1]Cl Enr. st'!BJ29/'[1]Cl Enr'!BM30*100</f>
        <v>1.43008735729095</v>
      </c>
      <c r="AT29" s="192">
        <f>'Rural enrl'!V29/'[1]Cl Enr'!X30*100</f>
        <v>0</v>
      </c>
      <c r="AU29" s="192">
        <f>'Rural enrl'!W29/'[1]Cl Enr'!Y30*100</f>
        <v>0</v>
      </c>
      <c r="AV29" s="192">
        <f>'Rural enrl'!X29/'[1]Cl Enr'!Z30*100</f>
        <v>0</v>
      </c>
      <c r="AW29" s="192">
        <f>'Rural enrl'!AH29/'[1]Cl Enr'!AJ30*100</f>
        <v>0</v>
      </c>
      <c r="AX29" s="192">
        <f>'Rural enrl'!AI29/'[1]Cl Enr'!AK30*100</f>
        <v>0</v>
      </c>
      <c r="AY29" s="192">
        <f>'Rural enrl'!AJ29/'[1]Cl Enr'!AL30*100</f>
        <v>0</v>
      </c>
      <c r="AZ29" s="192">
        <f>('Rural enrl'!V29+'Rural enrl'!AH29)/('[1]Cl Enr'!X30+'[1]Cl Enr'!AJ30)*100</f>
        <v>0</v>
      </c>
      <c r="BA29" s="192">
        <f>('Rural enrl'!W29+'Rural enrl'!AI29)/('[1]Cl Enr'!Y30+'[1]Cl Enr'!AK30)*100</f>
        <v>0</v>
      </c>
      <c r="BB29" s="192">
        <f>('Rural enrl'!X29+'Rural enrl'!AJ29)/('[1]Cl Enr'!Z30+'[1]Cl Enr'!AL30)*100</f>
        <v>0</v>
      </c>
      <c r="BC29" s="191">
        <f>'Rural enrl'!AT29/'[1]Cl Enr'!AV30*100</f>
        <v>0</v>
      </c>
      <c r="BD29" s="191">
        <f>'Rural enrl'!AU29/'[1]Cl Enr'!AW30*100</f>
        <v>0</v>
      </c>
      <c r="BE29" s="191">
        <f>'Rural enrl'!AV29/'[1]Cl Enr'!AX30*100</f>
        <v>0</v>
      </c>
      <c r="BF29" s="191">
        <f>'Rural enrl'!AW29/'[1]Cl Enr'!AY30*100</f>
        <v>0</v>
      </c>
      <c r="BG29" s="191">
        <f>'Rural enrl'!AX29/'[1]Cl Enr'!AZ30*100</f>
        <v>0</v>
      </c>
      <c r="BH29" s="191">
        <f>'Rural enrl'!AY29/'[1]Cl Enr'!BA30*100</f>
        <v>0</v>
      </c>
      <c r="BI29" s="191">
        <f>'Rural enrl'!BF29/'[1]Cl Enr'!BH30*100</f>
        <v>0</v>
      </c>
      <c r="BJ29" s="191">
        <f>'Rural enrl'!BG29/'[1]Cl Enr'!BI30*100</f>
        <v>0</v>
      </c>
      <c r="BK29" s="191">
        <f>'Rural enrl'!BH29/'[1]Cl Enr'!BJ30*100</f>
        <v>0</v>
      </c>
      <c r="BL29" s="191">
        <f>'Rural enrl'!BI29/'[1]Cl Enr'!BK30*100</f>
        <v>0</v>
      </c>
      <c r="BM29" s="191">
        <f>'Rural enrl'!BJ29/'[1]Cl Enr'!BL30*100</f>
        <v>0</v>
      </c>
      <c r="BN29" s="191">
        <f>'Rural enrl'!BK29/'[1]Cl Enr'!BM30*100</f>
        <v>0</v>
      </c>
    </row>
    <row r="30" spans="2:66" ht="21.95" customHeight="1">
      <c r="B30" s="169">
        <v>25</v>
      </c>
      <c r="C30" s="173" t="s">
        <v>35</v>
      </c>
      <c r="D30" s="192">
        <f>'[1]Cl Enr. sc'!U30/'[1]Cl Enr'!X31*100</f>
        <v>18.345643835616439</v>
      </c>
      <c r="E30" s="192">
        <f>'[1]Cl Enr. sc'!V30/'[1]Cl Enr'!Y31*100</f>
        <v>18.598740243355778</v>
      </c>
      <c r="F30" s="192">
        <f>'[1]Cl Enr. sc'!W30/'[1]Cl Enr'!Z31*100</f>
        <v>18.468851514906103</v>
      </c>
      <c r="G30" s="192">
        <f>'[1]Cl Enr. sc'!AG30/'[1]Cl Enr'!AJ31*100</f>
        <v>21.376996833768352</v>
      </c>
      <c r="H30" s="192">
        <f>'[1]Cl Enr. sc'!AH30/'[1]Cl Enr'!AK31*100</f>
        <v>22.320848869349064</v>
      </c>
      <c r="I30" s="192">
        <f>'[1]Cl Enr. sc'!AI30/'[1]Cl Enr'!AL31*100</f>
        <v>21.841014486805925</v>
      </c>
      <c r="J30" s="192">
        <f>('[1]Cl Enr. sc'!U30+'[1]Cl Enr. sc'!AG30)/('[1]Cl Enr'!X31+'[1]Cl Enr'!AJ31)*100</f>
        <v>19.340781004316664</v>
      </c>
      <c r="K30" s="192">
        <f>('[1]Cl Enr. sc'!V30+'[1]Cl Enr. sc'!AH30)/('[1]Cl Enr'!Y31+'[1]Cl Enr'!AK31)*100</f>
        <v>19.836523187489398</v>
      </c>
      <c r="L30" s="192">
        <f>('[1]Cl Enr. sc'!W30+'[1]Cl Enr. sc'!AI30)/('[1]Cl Enr'!Z31+'[1]Cl Enr'!AL31)*100</f>
        <v>19.582898350303321</v>
      </c>
      <c r="M30" s="192">
        <f>'[1]Cl Enr. sc'!AS30/'[1]Cl Enr'!AV31*100</f>
        <v>20.958806428610607</v>
      </c>
      <c r="N30" s="192">
        <f>'[1]Cl Enr. sc'!AT30/'[1]Cl Enr'!AW31*100</f>
        <v>21.373782311881566</v>
      </c>
      <c r="O30" s="192">
        <f>'[1]Cl Enr. sc'!AU30/'[1]Cl Enr'!AX31*100</f>
        <v>21.161351915463165</v>
      </c>
      <c r="P30" s="192">
        <f>'[1]Cl Enr. sc'!AV30/'[1]Cl Enr'!AY31*100</f>
        <v>19.565211878054409</v>
      </c>
      <c r="Q30" s="192">
        <f>'[1]Cl Enr. sc'!AW30/'[1]Cl Enr'!AZ31*100</f>
        <v>20.0495279697518</v>
      </c>
      <c r="R30" s="192">
        <f>'[1]Cl Enr. sc'!AX30/'[1]Cl Enr'!BA31*100</f>
        <v>19.801728388653881</v>
      </c>
      <c r="S30" s="192">
        <f>'[1]Cl Enr. sc'!BE30/'[1]Cl Enr'!BH31*100</f>
        <v>20.192225178065733</v>
      </c>
      <c r="T30" s="192">
        <f>'[1]Cl Enr. sc'!BF30/'[1]Cl Enr'!BI31*100</f>
        <v>18.929616245052486</v>
      </c>
      <c r="U30" s="192">
        <f>'[1]Cl Enr. sc'!BG30/'[1]Cl Enr'!BJ31*100</f>
        <v>19.651930582488525</v>
      </c>
      <c r="V30" s="192">
        <f>'[1]Cl Enr. sc'!BH30/'[1]Cl Enr'!BK31*100</f>
        <v>19.600204016637413</v>
      </c>
      <c r="W30" s="192">
        <f>'[1]Cl Enr. sc'!BI30/'[1]Cl Enr'!BL31*100</f>
        <v>19.999949210992774</v>
      </c>
      <c r="X30" s="192">
        <f>'[1]Cl Enr. sc'!BJ30/'[1]Cl Enr'!BM31*100</f>
        <v>19.794207288892395</v>
      </c>
      <c r="Y30" s="192">
        <f>'[1]Cl Enr. st'!U30/'[1]Cl Enr'!X31*100</f>
        <v>43.726465753424662</v>
      </c>
      <c r="Z30" s="192">
        <f>'[1]Cl Enr. st'!V30/'[1]Cl Enr'!Y31*100</f>
        <v>43.233313769981194</v>
      </c>
      <c r="AA30" s="192">
        <f>'[1]Cl Enr. st'!W30/'[1]Cl Enr'!Z31*100</f>
        <v>43.48639868981094</v>
      </c>
      <c r="AB30" s="192">
        <f>'[1]Cl Enr. st'!AG30/'[1]Cl Enr'!AJ31*100</f>
        <v>34.87698337952623</v>
      </c>
      <c r="AC30" s="192">
        <f>'[1]Cl Enr. st'!AH30/'[1]Cl Enr'!AK31*100</f>
        <v>31.862281336375609</v>
      </c>
      <c r="AD30" s="192">
        <f>'[1]Cl Enr. st'!AI30/'[1]Cl Enr'!AL31*100</f>
        <v>33.394891998741464</v>
      </c>
      <c r="AE30" s="192">
        <f>('[1]Cl Enr. st'!U30+'[1]Cl Enr. st'!AG30)/('[1]Cl Enr'!X31+'[1]Cl Enr'!AJ31)*100</f>
        <v>40.821344231981016</v>
      </c>
      <c r="AF30" s="192">
        <f>('[1]Cl Enr. st'!V30+'[1]Cl Enr. st'!AH30)/('[1]Cl Enr'!Y31+'[1]Cl Enr'!AK31)*100</f>
        <v>39.451890007865394</v>
      </c>
      <c r="AG30" s="192">
        <f>('[1]Cl Enr. st'!W30+'[1]Cl Enr. st'!AI30)/('[1]Cl Enr'!Z31+'[1]Cl Enr'!AL31)*100</f>
        <v>40.152511452670083</v>
      </c>
      <c r="AH30" s="192">
        <f>'[1]Cl Enr. st'!AS30/'[1]Cl Enr'!AV31*100</f>
        <v>32.653173166584388</v>
      </c>
      <c r="AI30" s="192">
        <f>'[1]Cl Enr. st'!AT30/'[1]Cl Enr'!AW31*100</f>
        <v>29.855411521055458</v>
      </c>
      <c r="AJ30" s="192">
        <f>'[1]Cl Enr. st'!AU30/'[1]Cl Enr'!AX31*100</f>
        <v>31.287614305369658</v>
      </c>
      <c r="AK30" s="192">
        <f>'[1]Cl Enr. st'!AV30/'[1]Cl Enr'!AY31*100</f>
        <v>39.688364649879411</v>
      </c>
      <c r="AL30" s="192">
        <f>'[1]Cl Enr. st'!AW30/'[1]Cl Enr'!AZ31*100</f>
        <v>38.122188477307205</v>
      </c>
      <c r="AM30" s="192">
        <f>'[1]Cl Enr. st'!AX30/'[1]Cl Enr'!BA31*100</f>
        <v>38.923520099654837</v>
      </c>
      <c r="AN30" s="192">
        <f>'[1]Cl Enr. st'!BE30/'[1]Cl Enr'!BH31*100</f>
        <v>24.744700935381449</v>
      </c>
      <c r="AO30" s="192">
        <f>'[1]Cl Enr. st'!BF30/'[1]Cl Enr'!BI31*100</f>
        <v>23.105604313658006</v>
      </c>
      <c r="AP30" s="192">
        <f>'[1]Cl Enr. st'!BG30/'[1]Cl Enr'!BJ31*100</f>
        <v>24.043300031910455</v>
      </c>
      <c r="AQ30" s="192">
        <f>'[1]Cl Enr. st'!BH30/'[1]Cl Enr'!BK31*100</f>
        <v>38.854393900573022</v>
      </c>
      <c r="AR30" s="192">
        <f>'[1]Cl Enr. st'!BI30/'[1]Cl Enr'!BL31*100</f>
        <v>37.457400720188119</v>
      </c>
      <c r="AS30" s="192">
        <f>'[1]Cl Enr. st'!BJ30/'[1]Cl Enr'!BM31*100</f>
        <v>38.176408893774827</v>
      </c>
      <c r="AT30" s="192">
        <f>'Rural enrl'!V30/'[1]Cl Enr'!X31*100</f>
        <v>0</v>
      </c>
      <c r="AU30" s="192">
        <f>'Rural enrl'!W30/'[1]Cl Enr'!Y31*100</f>
        <v>0</v>
      </c>
      <c r="AV30" s="192">
        <f>'Rural enrl'!X30/'[1]Cl Enr'!Z31*100</f>
        <v>0</v>
      </c>
      <c r="AW30" s="192">
        <f>'Rural enrl'!AH30/'[1]Cl Enr'!AJ31*100</f>
        <v>0</v>
      </c>
      <c r="AX30" s="192">
        <f>'Rural enrl'!AI30/'[1]Cl Enr'!AK31*100</f>
        <v>0</v>
      </c>
      <c r="AY30" s="192">
        <f>'Rural enrl'!AJ30/'[1]Cl Enr'!AL31*100</f>
        <v>0</v>
      </c>
      <c r="AZ30" s="192">
        <f>('Rural enrl'!V30+'Rural enrl'!AH30)/('[1]Cl Enr'!X31+'[1]Cl Enr'!AJ31)*100</f>
        <v>0</v>
      </c>
      <c r="BA30" s="192">
        <f>('Rural enrl'!W30+'Rural enrl'!AI30)/('[1]Cl Enr'!Y31+'[1]Cl Enr'!AK31)*100</f>
        <v>0</v>
      </c>
      <c r="BB30" s="192">
        <f>('Rural enrl'!X30+'Rural enrl'!AJ30)/('[1]Cl Enr'!Z31+'[1]Cl Enr'!AL31)*100</f>
        <v>0</v>
      </c>
      <c r="BC30" s="191">
        <f>'Rural enrl'!AT30/'[1]Cl Enr'!AV31*100</f>
        <v>0</v>
      </c>
      <c r="BD30" s="191">
        <f>'Rural enrl'!AU30/'[1]Cl Enr'!AW31*100</f>
        <v>0</v>
      </c>
      <c r="BE30" s="191">
        <f>'Rural enrl'!AV30/'[1]Cl Enr'!AX31*100</f>
        <v>0</v>
      </c>
      <c r="BF30" s="191">
        <f>'Rural enrl'!AW30/'[1]Cl Enr'!AY31*100</f>
        <v>0</v>
      </c>
      <c r="BG30" s="191">
        <f>'Rural enrl'!AX30/'[1]Cl Enr'!AZ31*100</f>
        <v>0</v>
      </c>
      <c r="BH30" s="191">
        <f>'Rural enrl'!AY30/'[1]Cl Enr'!BA31*100</f>
        <v>0</v>
      </c>
      <c r="BI30" s="191">
        <f>'Rural enrl'!BF30/'[1]Cl Enr'!BH31*100</f>
        <v>0</v>
      </c>
      <c r="BJ30" s="191">
        <f>'Rural enrl'!BG30/'[1]Cl Enr'!BI31*100</f>
        <v>0</v>
      </c>
      <c r="BK30" s="191">
        <f>'Rural enrl'!BH30/'[1]Cl Enr'!BJ31*100</f>
        <v>0</v>
      </c>
      <c r="BL30" s="191">
        <f>'Rural enrl'!BI30/'[1]Cl Enr'!BK31*100</f>
        <v>0</v>
      </c>
      <c r="BM30" s="191">
        <f>'Rural enrl'!BJ30/'[1]Cl Enr'!BL31*100</f>
        <v>0</v>
      </c>
      <c r="BN30" s="191">
        <f>'Rural enrl'!BK30/'[1]Cl Enr'!BM31*100</f>
        <v>0</v>
      </c>
    </row>
    <row r="31" spans="2:66" ht="21.95" customHeight="1">
      <c r="B31" s="169">
        <v>26</v>
      </c>
      <c r="C31" s="173" t="s">
        <v>36</v>
      </c>
      <c r="D31" s="192">
        <f>'[1]Cl Enr. sc'!U31/'[1]Cl Enr'!X32*100</f>
        <v>24.813330731260262</v>
      </c>
      <c r="E31" s="192">
        <f>'[1]Cl Enr. sc'!V31/'[1]Cl Enr'!Y32*100</f>
        <v>25.29105440376641</v>
      </c>
      <c r="F31" s="192">
        <f>'[1]Cl Enr. sc'!W31/'[1]Cl Enr'!Z32*100</f>
        <v>25.047570372464918</v>
      </c>
      <c r="G31" s="192">
        <f>'[1]Cl Enr. sc'!AG31/'[1]Cl Enr'!AJ32*100</f>
        <v>20.94641379815096</v>
      </c>
      <c r="H31" s="192">
        <f>'[1]Cl Enr. sc'!AH31/'[1]Cl Enr'!AK32*100</f>
        <v>22.56929682353546</v>
      </c>
      <c r="I31" s="192">
        <f>'[1]Cl Enr. sc'!AI31/'[1]Cl Enr'!AL32*100</f>
        <v>21.677694825365208</v>
      </c>
      <c r="J31" s="192">
        <f>('[1]Cl Enr. sc'!U31+'[1]Cl Enr. sc'!AG31)/('[1]Cl Enr'!X32+'[1]Cl Enr'!AJ32)*100</f>
        <v>23.691993741846733</v>
      </c>
      <c r="K31" s="192">
        <f>('[1]Cl Enr. sc'!V31+'[1]Cl Enr. sc'!AH31)/('[1]Cl Enr'!Y32+'[1]Cl Enr'!AK32)*100</f>
        <v>24.588109315772812</v>
      </c>
      <c r="L31" s="192">
        <f>('[1]Cl Enr. sc'!W31+'[1]Cl Enr. sc'!AI31)/('[1]Cl Enr'!Z32+'[1]Cl Enr'!AL32)*100</f>
        <v>24.121601205247938</v>
      </c>
      <c r="M31" s="192">
        <f>'[1]Cl Enr. sc'!AS31/'[1]Cl Enr'!AV32*100</f>
        <v>20.030667739158446</v>
      </c>
      <c r="N31" s="192">
        <f>'[1]Cl Enr. sc'!AT31/'[1]Cl Enr'!AW32*100</f>
        <v>18.522082216333001</v>
      </c>
      <c r="O31" s="192">
        <f>'[1]Cl Enr. sc'!AU31/'[1]Cl Enr'!AX32*100</f>
        <v>19.390322023072361</v>
      </c>
      <c r="P31" s="192">
        <f>'[1]Cl Enr. sc'!AV31/'[1]Cl Enr'!AY32*100</f>
        <v>23.065449553317755</v>
      </c>
      <c r="Q31" s="192">
        <f>'[1]Cl Enr. sc'!AW31/'[1]Cl Enr'!AZ32*100</f>
        <v>23.727438818253027</v>
      </c>
      <c r="R31" s="192">
        <f>'[1]Cl Enr. sc'!AX31/'[1]Cl Enr'!BA32*100</f>
        <v>23.377090907593139</v>
      </c>
      <c r="S31" s="192">
        <f>'[1]Cl Enr. sc'!BE31/'[1]Cl Enr'!BH32*100</f>
        <v>15.196904711218446</v>
      </c>
      <c r="T31" s="192">
        <f>'[1]Cl Enr. sc'!BF31/'[1]Cl Enr'!BI32*100</f>
        <v>15.19990348580205</v>
      </c>
      <c r="U31" s="192">
        <f>'[1]Cl Enr. sc'!BG31/'[1]Cl Enr'!BJ32*100</f>
        <v>15.198191965560238</v>
      </c>
      <c r="V31" s="192">
        <f>'[1]Cl Enr. sc'!BH31/'[1]Cl Enr'!BK32*100</f>
        <v>22.488169501455889</v>
      </c>
      <c r="W31" s="192">
        <f>'[1]Cl Enr. sc'!BI31/'[1]Cl Enr'!BL32*100</f>
        <v>23.192391203715836</v>
      </c>
      <c r="X31" s="192">
        <f>'[1]Cl Enr. sc'!BJ31/'[1]Cl Enr'!BM32*100</f>
        <v>22.817693310261042</v>
      </c>
      <c r="Y31" s="192">
        <f>'[1]Cl Enr. st'!U31/'[1]Cl Enr'!X32*100</f>
        <v>0.58487174122038998</v>
      </c>
      <c r="Z31" s="192">
        <f>'[1]Cl Enr. st'!V31/'[1]Cl Enr'!Y32*100</f>
        <v>0.58276357979367921</v>
      </c>
      <c r="AA31" s="192">
        <f>'[1]Cl Enr. st'!W31/'[1]Cl Enr'!Z32*100</f>
        <v>0.58383805793313803</v>
      </c>
      <c r="AB31" s="192">
        <f>'[1]Cl Enr. st'!AG31/'[1]Cl Enr'!AJ32*100</f>
        <v>0.49414047606548384</v>
      </c>
      <c r="AC31" s="192">
        <f>'[1]Cl Enr. st'!AH31/'[1]Cl Enr'!AK32*100</f>
        <v>0.53935424190466408</v>
      </c>
      <c r="AD31" s="192">
        <f>'[1]Cl Enr. st'!AI31/'[1]Cl Enr'!AL32*100</f>
        <v>0.51451407577040797</v>
      </c>
      <c r="AE31" s="192">
        <f>('[1]Cl Enr. st'!U31+'[1]Cl Enr. st'!AG31)/('[1]Cl Enr'!X32+'[1]Cl Enr'!AJ32)*100</f>
        <v>0.55856129145526512</v>
      </c>
      <c r="AF31" s="192">
        <f>('[1]Cl Enr. st'!V31+'[1]Cl Enr. st'!AH31)/('[1]Cl Enr'!Y32+'[1]Cl Enr'!AK32)*100</f>
        <v>0.57155230180780203</v>
      </c>
      <c r="AG31" s="192">
        <f>('[1]Cl Enr. st'!W31+'[1]Cl Enr. st'!AI31)/('[1]Cl Enr'!Z32+'[1]Cl Enr'!AL32)*100</f>
        <v>0.5647893218198311</v>
      </c>
      <c r="AH31" s="192">
        <f>'[1]Cl Enr. st'!AS31/'[1]Cl Enr'!AV32*100</f>
        <v>0.61494253028223955</v>
      </c>
      <c r="AI31" s="192">
        <f>'[1]Cl Enr. st'!AT31/'[1]Cl Enr'!AW32*100</f>
        <v>0.56987541774626638</v>
      </c>
      <c r="AJ31" s="192">
        <f>'[1]Cl Enr. st'!AU31/'[1]Cl Enr'!AX32*100</f>
        <v>0.59581299999566339</v>
      </c>
      <c r="AK31" s="192">
        <f>'[1]Cl Enr. st'!AV31/'[1]Cl Enr'!AY32*100</f>
        <v>0.56820952750503717</v>
      </c>
      <c r="AL31" s="192">
        <f>'[1]Cl Enr. st'!AW31/'[1]Cl Enr'!AZ32*100</f>
        <v>0.57131437925719919</v>
      </c>
      <c r="AM31" s="192">
        <f>'[1]Cl Enr. st'!AX31/'[1]Cl Enr'!BA32*100</f>
        <v>0.56967118293681018</v>
      </c>
      <c r="AN31" s="192">
        <f>'[1]Cl Enr. st'!BE31/'[1]Cl Enr'!BH32*100</f>
        <v>0.56727960550423495</v>
      </c>
      <c r="AO31" s="192">
        <f>'[1]Cl Enr. st'!BF31/'[1]Cl Enr'!BI32*100</f>
        <v>0.56995964654768405</v>
      </c>
      <c r="AP31" s="192">
        <f>'[1]Cl Enr. st'!BG31/'[1]Cl Enr'!BJ32*100</f>
        <v>0.56843004024788768</v>
      </c>
      <c r="AQ31" s="192">
        <f>'[1]Cl Enr. st'!BH31/'[1]Cl Enr'!BK32*100</f>
        <v>0.56814130327404877</v>
      </c>
      <c r="AR31" s="192">
        <f>'[1]Cl Enr. st'!BI31/'[1]Cl Enr'!BL32*100</f>
        <v>0.57122937855344325</v>
      </c>
      <c r="AS31" s="192">
        <f>'[1]Cl Enr. st'!BJ31/'[1]Cl Enr'!BM32*100</f>
        <v>0.56958629470881639</v>
      </c>
      <c r="AT31" s="192">
        <f>'Rural enrl'!V31/'[1]Cl Enr'!X32*100</f>
        <v>0</v>
      </c>
      <c r="AU31" s="192">
        <f>'Rural enrl'!W31/'[1]Cl Enr'!Y32*100</f>
        <v>0</v>
      </c>
      <c r="AV31" s="192">
        <f>'Rural enrl'!X31/'[1]Cl Enr'!Z32*100</f>
        <v>0</v>
      </c>
      <c r="AW31" s="192">
        <f>'Rural enrl'!AH31/'[1]Cl Enr'!AJ32*100</f>
        <v>0</v>
      </c>
      <c r="AX31" s="192">
        <f>'Rural enrl'!AI31/'[1]Cl Enr'!AK32*100</f>
        <v>0</v>
      </c>
      <c r="AY31" s="192">
        <f>'Rural enrl'!AJ31/'[1]Cl Enr'!AL32*100</f>
        <v>0</v>
      </c>
      <c r="AZ31" s="192">
        <f>('Rural enrl'!V31+'Rural enrl'!AH31)/('[1]Cl Enr'!X32+'[1]Cl Enr'!AJ32)*100</f>
        <v>0</v>
      </c>
      <c r="BA31" s="192">
        <f>('Rural enrl'!W31+'Rural enrl'!AI31)/('[1]Cl Enr'!Y32+'[1]Cl Enr'!AK32)*100</f>
        <v>0</v>
      </c>
      <c r="BB31" s="192">
        <f>('Rural enrl'!X31+'Rural enrl'!AJ31)/('[1]Cl Enr'!Z32+'[1]Cl Enr'!AL32)*100</f>
        <v>0</v>
      </c>
      <c r="BC31" s="191">
        <f>'Rural enrl'!AT31/'[1]Cl Enr'!AV32*100</f>
        <v>0</v>
      </c>
      <c r="BD31" s="191">
        <f>'Rural enrl'!AU31/'[1]Cl Enr'!AW32*100</f>
        <v>0</v>
      </c>
      <c r="BE31" s="191">
        <f>'Rural enrl'!AV31/'[1]Cl Enr'!AX32*100</f>
        <v>0</v>
      </c>
      <c r="BF31" s="191">
        <f>'Rural enrl'!AW31/'[1]Cl Enr'!AY32*100</f>
        <v>0</v>
      </c>
      <c r="BG31" s="191">
        <f>'Rural enrl'!AX31/'[1]Cl Enr'!AZ32*100</f>
        <v>0</v>
      </c>
      <c r="BH31" s="191">
        <f>'Rural enrl'!AY31/'[1]Cl Enr'!BA32*100</f>
        <v>0</v>
      </c>
      <c r="BI31" s="191">
        <f>'Rural enrl'!BF31/'[1]Cl Enr'!BH32*100</f>
        <v>0</v>
      </c>
      <c r="BJ31" s="191">
        <f>'Rural enrl'!BG31/'[1]Cl Enr'!BI32*100</f>
        <v>0</v>
      </c>
      <c r="BK31" s="191">
        <f>'Rural enrl'!BH31/'[1]Cl Enr'!BJ32*100</f>
        <v>0</v>
      </c>
      <c r="BL31" s="191">
        <f>'Rural enrl'!BI31/'[1]Cl Enr'!BK32*100</f>
        <v>0</v>
      </c>
      <c r="BM31" s="191">
        <f>'Rural enrl'!BJ31/'[1]Cl Enr'!BL32*100</f>
        <v>0</v>
      </c>
      <c r="BN31" s="191">
        <f>'Rural enrl'!BK31/'[1]Cl Enr'!BM32*100</f>
        <v>0</v>
      </c>
    </row>
    <row r="32" spans="2:66" ht="21.95" customHeight="1">
      <c r="B32" s="169">
        <v>27</v>
      </c>
      <c r="C32" s="173" t="s">
        <v>37</v>
      </c>
      <c r="D32" s="192">
        <f>'[1]Cl Enr. sc'!U32/'[1]Cl Enr'!X33*100</f>
        <v>26.397463031895224</v>
      </c>
      <c r="E32" s="192">
        <f>'[1]Cl Enr. sc'!V32/'[1]Cl Enr'!Y33*100</f>
        <v>27.57465469911709</v>
      </c>
      <c r="F32" s="192">
        <f>'[1]Cl Enr. sc'!W32/'[1]Cl Enr'!Z33*100</f>
        <v>26.966955993742609</v>
      </c>
      <c r="G32" s="192">
        <f>'[1]Cl Enr. sc'!AG32/'[1]Cl Enr'!AJ33*100</f>
        <v>22.721022635676558</v>
      </c>
      <c r="H32" s="192">
        <f>'[1]Cl Enr. sc'!AH32/'[1]Cl Enr'!AK33*100</f>
        <v>22.412274048996792</v>
      </c>
      <c r="I32" s="192">
        <f>'[1]Cl Enr. sc'!AI32/'[1]Cl Enr'!AL33*100</f>
        <v>22.568251210444959</v>
      </c>
      <c r="J32" s="192">
        <f>('[1]Cl Enr. sc'!U32+'[1]Cl Enr. sc'!AG32)/('[1]Cl Enr'!X33+'[1]Cl Enr'!AJ33)*100</f>
        <v>25.082185413912544</v>
      </c>
      <c r="K32" s="192">
        <f>('[1]Cl Enr. sc'!V32+'[1]Cl Enr. sc'!AH32)/('[1]Cl Enr'!Y33+'[1]Cl Enr'!AK33)*100</f>
        <v>25.675059436581581</v>
      </c>
      <c r="L32" s="192">
        <f>('[1]Cl Enr. sc'!W32+'[1]Cl Enr. sc'!AI32)/('[1]Cl Enr'!Z33+'[1]Cl Enr'!AL33)*100</f>
        <v>25.371374948953139</v>
      </c>
      <c r="M32" s="192">
        <f>'[1]Cl Enr. sc'!AS32/'[1]Cl Enr'!AV33*100</f>
        <v>20.422311913194427</v>
      </c>
      <c r="N32" s="192">
        <f>'[1]Cl Enr. sc'!AT32/'[1]Cl Enr'!AW33*100</f>
        <v>17.413651446732352</v>
      </c>
      <c r="O32" s="192">
        <f>'[1]Cl Enr. sc'!AU32/'[1]Cl Enr'!AX33*100</f>
        <v>19.045412148769966</v>
      </c>
      <c r="P32" s="192">
        <f>'[1]Cl Enr. sc'!AV32/'[1]Cl Enr'!AY33*100</f>
        <v>24.272108614736087</v>
      </c>
      <c r="Q32" s="192">
        <f>'[1]Cl Enr. sc'!AW32/'[1]Cl Enr'!AZ33*100</f>
        <v>24.376753482943858</v>
      </c>
      <c r="R32" s="192">
        <f>'[1]Cl Enr. sc'!AX32/'[1]Cl Enr'!BA33*100</f>
        <v>24.322629123408078</v>
      </c>
      <c r="S32" s="192">
        <f>'[1]Cl Enr. sc'!BE32/'[1]Cl Enr'!BH33*100</f>
        <v>14.378933949486097</v>
      </c>
      <c r="T32" s="192">
        <f>'[1]Cl Enr. sc'!BF32/'[1]Cl Enr'!BI33*100</f>
        <v>12.479894116673867</v>
      </c>
      <c r="U32" s="192">
        <f>'[1]Cl Enr. sc'!BG32/'[1]Cl Enr'!BJ33*100</f>
        <v>13.497134126303301</v>
      </c>
      <c r="V32" s="192">
        <f>'[1]Cl Enr. sc'!BH32/'[1]Cl Enr'!BK33*100</f>
        <v>23.233784500218253</v>
      </c>
      <c r="W32" s="192">
        <f>'[1]Cl Enr. sc'!BI32/'[1]Cl Enr'!BL33*100</f>
        <v>23.208428334425506</v>
      </c>
      <c r="X32" s="192">
        <f>'[1]Cl Enr. sc'!BJ32/'[1]Cl Enr'!BM33*100</f>
        <v>23.221590593399267</v>
      </c>
      <c r="Y32" s="192">
        <f>'[1]Cl Enr. st'!U32/'[1]Cl Enr'!X33*100</f>
        <v>4.3509496022341096</v>
      </c>
      <c r="Z32" s="192">
        <f>'[1]Cl Enr. st'!V32/'[1]Cl Enr'!Y33*100</f>
        <v>4.2245926003866838</v>
      </c>
      <c r="AA32" s="192">
        <f>'[1]Cl Enr. st'!W32/'[1]Cl Enr'!Z33*100</f>
        <v>4.2898215589121014</v>
      </c>
      <c r="AB32" s="192">
        <f>'[1]Cl Enr. st'!AG32/'[1]Cl Enr'!AJ33*100</f>
        <v>3.5788455520468831</v>
      </c>
      <c r="AC32" s="192">
        <f>'[1]Cl Enr. st'!AH32/'[1]Cl Enr'!AK33*100</f>
        <v>3.5903658784536092</v>
      </c>
      <c r="AD32" s="192">
        <f>'[1]Cl Enr. st'!AI32/'[1]Cl Enr'!AL33*100</f>
        <v>3.5845459074824024</v>
      </c>
      <c r="AE32" s="192">
        <f>('[1]Cl Enr. st'!U32+'[1]Cl Enr. st'!AG32)/('[1]Cl Enr'!X33+'[1]Cl Enr'!AJ33)*100</f>
        <v>4.0747228539344391</v>
      </c>
      <c r="AF32" s="192">
        <f>('[1]Cl Enr. st'!V32+'[1]Cl Enr. st'!AH32)/('[1]Cl Enr'!Y33+'[1]Cl Enr'!AK33)*100</f>
        <v>3.9912169239283006</v>
      </c>
      <c r="AG32" s="192">
        <f>('[1]Cl Enr. st'!W32+'[1]Cl Enr. st'!AI32)/('[1]Cl Enr'!Z33+'[1]Cl Enr'!AL33)*100</f>
        <v>4.0339906913699677</v>
      </c>
      <c r="AH32" s="192">
        <f>'[1]Cl Enr. st'!AS32/'[1]Cl Enr'!AV33*100</f>
        <v>3.4298735428949163</v>
      </c>
      <c r="AI32" s="192">
        <f>'[1]Cl Enr. st'!AT32/'[1]Cl Enr'!AW33*100</f>
        <v>3.6908712239425769</v>
      </c>
      <c r="AJ32" s="192">
        <f>'[1]Cl Enr. st'!AU32/'[1]Cl Enr'!AX33*100</f>
        <v>3.5493179433368311</v>
      </c>
      <c r="AK32" s="192">
        <f>'[1]Cl Enr. st'!AV32/'[1]Cl Enr'!AY33*100</f>
        <v>3.9626216422261087</v>
      </c>
      <c r="AL32" s="192">
        <f>'[1]Cl Enr. st'!AW32/'[1]Cl Enr'!AZ33*100</f>
        <v>3.944016663280228</v>
      </c>
      <c r="AM32" s="192">
        <f>'[1]Cl Enr. st'!AX32/'[1]Cl Enr'!BA33*100</f>
        <v>3.9536395199655945</v>
      </c>
      <c r="AN32" s="192">
        <f>'[1]Cl Enr. st'!BE32/'[1]Cl Enr'!BH33*100</f>
        <v>3.4013226037765918</v>
      </c>
      <c r="AO32" s="192">
        <f>'[1]Cl Enr. st'!BF32/'[1]Cl Enr'!BI33*100</f>
        <v>3.6801808840154777</v>
      </c>
      <c r="AP32" s="192">
        <f>'[1]Cl Enr. st'!BG32/'[1]Cl Enr'!BJ33*100</f>
        <v>3.5308076087559592</v>
      </c>
      <c r="AQ32" s="192">
        <f>'[1]Cl Enr. st'!BH32/'[1]Cl Enr'!BK33*100</f>
        <v>3.9037112977918857</v>
      </c>
      <c r="AR32" s="192">
        <f>'[1]Cl Enr. st'!BI32/'[1]Cl Enr'!BL33*100</f>
        <v>3.9181068019879377</v>
      </c>
      <c r="AS32" s="192">
        <f>'[1]Cl Enr. st'!BJ32/'[1]Cl Enr'!BM33*100</f>
        <v>3.9106341676852985</v>
      </c>
      <c r="AT32" s="192">
        <f>'Rural enrl'!V32/'[1]Cl Enr'!X33*100</f>
        <v>0</v>
      </c>
      <c r="AU32" s="192">
        <f>'Rural enrl'!W32/'[1]Cl Enr'!Y33*100</f>
        <v>0</v>
      </c>
      <c r="AV32" s="192">
        <f>'Rural enrl'!X32/'[1]Cl Enr'!Z33*100</f>
        <v>0</v>
      </c>
      <c r="AW32" s="192">
        <f>'Rural enrl'!AH32/'[1]Cl Enr'!AJ33*100</f>
        <v>0</v>
      </c>
      <c r="AX32" s="192">
        <f>'Rural enrl'!AI32/'[1]Cl Enr'!AK33*100</f>
        <v>0</v>
      </c>
      <c r="AY32" s="192">
        <f>'Rural enrl'!AJ32/'[1]Cl Enr'!AL33*100</f>
        <v>0</v>
      </c>
      <c r="AZ32" s="192">
        <f>('Rural enrl'!V32+'Rural enrl'!AH32)/('[1]Cl Enr'!X33+'[1]Cl Enr'!AJ33)*100</f>
        <v>0</v>
      </c>
      <c r="BA32" s="192">
        <f>('Rural enrl'!W32+'Rural enrl'!AI32)/('[1]Cl Enr'!Y33+'[1]Cl Enr'!AK33)*100</f>
        <v>0</v>
      </c>
      <c r="BB32" s="192">
        <f>('Rural enrl'!X32+'Rural enrl'!AJ32)/('[1]Cl Enr'!Z33+'[1]Cl Enr'!AL33)*100</f>
        <v>0</v>
      </c>
      <c r="BC32" s="191">
        <f>'Rural enrl'!AT32/'[1]Cl Enr'!AV33*100</f>
        <v>0</v>
      </c>
      <c r="BD32" s="191">
        <f>'Rural enrl'!AU32/'[1]Cl Enr'!AW33*100</f>
        <v>0</v>
      </c>
      <c r="BE32" s="191">
        <f>'Rural enrl'!AV32/'[1]Cl Enr'!AX33*100</f>
        <v>0</v>
      </c>
      <c r="BF32" s="191">
        <f>'Rural enrl'!AW32/'[1]Cl Enr'!AY33*100</f>
        <v>0</v>
      </c>
      <c r="BG32" s="191">
        <f>'Rural enrl'!AX32/'[1]Cl Enr'!AZ33*100</f>
        <v>0</v>
      </c>
      <c r="BH32" s="191">
        <f>'Rural enrl'!AY32/'[1]Cl Enr'!BA33*100</f>
        <v>0</v>
      </c>
      <c r="BI32" s="191">
        <f>'Rural enrl'!BF32/'[1]Cl Enr'!BH33*100</f>
        <v>0</v>
      </c>
      <c r="BJ32" s="191">
        <f>'Rural enrl'!BG32/'[1]Cl Enr'!BI33*100</f>
        <v>0</v>
      </c>
      <c r="BK32" s="191">
        <f>'Rural enrl'!BH32/'[1]Cl Enr'!BJ33*100</f>
        <v>0</v>
      </c>
      <c r="BL32" s="191">
        <f>'Rural enrl'!BI32/'[1]Cl Enr'!BK33*100</f>
        <v>0</v>
      </c>
      <c r="BM32" s="191">
        <f>'Rural enrl'!BJ32/'[1]Cl Enr'!BL33*100</f>
        <v>0</v>
      </c>
      <c r="BN32" s="191">
        <f>'Rural enrl'!BK32/'[1]Cl Enr'!BM33*100</f>
        <v>0</v>
      </c>
    </row>
    <row r="33" spans="2:66" ht="21.95" customHeight="1">
      <c r="B33" s="169">
        <v>28</v>
      </c>
      <c r="C33" s="173" t="s">
        <v>57</v>
      </c>
      <c r="D33" s="192">
        <f>'[1]Cl Enr. sc'!U33/'[1]Cl Enr'!X34*100</f>
        <v>27.113716205100246</v>
      </c>
      <c r="E33" s="192">
        <f>'[1]Cl Enr. sc'!V33/'[1]Cl Enr'!Y34*100</f>
        <v>26.773613955305503</v>
      </c>
      <c r="F33" s="192">
        <f>'[1]Cl Enr. sc'!W33/'[1]Cl Enr'!Z34*100</f>
        <v>26.945509404631622</v>
      </c>
      <c r="G33" s="192">
        <f>'[1]Cl Enr. sc'!AG33/'[1]Cl Enr'!AJ34*100</f>
        <v>28.412887672417973</v>
      </c>
      <c r="H33" s="192">
        <f>'[1]Cl Enr. sc'!AH33/'[1]Cl Enr'!AK34*100</f>
        <v>26.498483505078994</v>
      </c>
      <c r="I33" s="192">
        <f>'[1]Cl Enr. sc'!AI33/'[1]Cl Enr'!AL34*100</f>
        <v>27.430259207381784</v>
      </c>
      <c r="J33" s="192">
        <f>('[1]Cl Enr. sc'!U33+'[1]Cl Enr. sc'!AG33)/('[1]Cl Enr'!X34+'[1]Cl Enr'!AJ34)*100</f>
        <v>27.499060902332872</v>
      </c>
      <c r="K33" s="192">
        <f>('[1]Cl Enr. sc'!V33+'[1]Cl Enr. sc'!AH33)/('[1]Cl Enr'!Y34+'[1]Cl Enr'!AK34)*100</f>
        <v>26.687648349608661</v>
      </c>
      <c r="L33" s="192">
        <f>('[1]Cl Enr. sc'!W33+'[1]Cl Enr. sc'!AI33)/('[1]Cl Enr'!Z34+'[1]Cl Enr'!AL34)*100</f>
        <v>27.093132851446111</v>
      </c>
      <c r="M33" s="192">
        <f>'[1]Cl Enr. sc'!AS33/'[1]Cl Enr'!AV34*100</f>
        <v>26.73690184369929</v>
      </c>
      <c r="N33" s="192">
        <f>'[1]Cl Enr. sc'!AT33/'[1]Cl Enr'!AW34*100</f>
        <v>24.19308226225964</v>
      </c>
      <c r="O33" s="192">
        <f>'[1]Cl Enr. sc'!AU33/'[1]Cl Enr'!AX34*100</f>
        <v>25.442735174921733</v>
      </c>
      <c r="P33" s="192">
        <f>'[1]Cl Enr. sc'!AV33/'[1]Cl Enr'!AY34*100</f>
        <v>27.409295710741567</v>
      </c>
      <c r="Q33" s="192">
        <f>'[1]Cl Enr. sc'!AW33/'[1]Cl Enr'!AZ34*100</f>
        <v>26.384941113428003</v>
      </c>
      <c r="R33" s="192">
        <f>'[1]Cl Enr. sc'!AX33/'[1]Cl Enr'!BA34*100</f>
        <v>26.895800298159049</v>
      </c>
      <c r="S33" s="192">
        <f>'[1]Cl Enr. sc'!BE33/'[1]Cl Enr'!BH34*100</f>
        <v>23.57472981407842</v>
      </c>
      <c r="T33" s="192">
        <f>'[1]Cl Enr. sc'!BF33/'[1]Cl Enr'!BI34*100</f>
        <v>20.549847639079903</v>
      </c>
      <c r="U33" s="192">
        <f>'[1]Cl Enr. sc'!BG33/'[1]Cl Enr'!BJ34*100</f>
        <v>22.249011172568114</v>
      </c>
      <c r="V33" s="192">
        <f>'[1]Cl Enr. sc'!BH33/'[1]Cl Enr'!BK34*100</f>
        <v>27.15988928229639</v>
      </c>
      <c r="W33" s="192">
        <f>'[1]Cl Enr. sc'!BI33/'[1]Cl Enr'!BL34*100</f>
        <v>26.085998449905844</v>
      </c>
      <c r="X33" s="192">
        <f>'[1]Cl Enr. sc'!BJ33/'[1]Cl Enr'!BM34*100</f>
        <v>26.625498456249403</v>
      </c>
      <c r="Y33" s="192">
        <f>'[1]Cl Enr. st'!U33/'[1]Cl Enr'!X34*100</f>
        <v>7.2983558778443207</v>
      </c>
      <c r="Z33" s="192">
        <f>'[1]Cl Enr. st'!V33/'[1]Cl Enr'!Y34*100</f>
        <v>7.232389903313571</v>
      </c>
      <c r="AA33" s="192">
        <f>'[1]Cl Enr. st'!W33/'[1]Cl Enr'!Z34*100</f>
        <v>7.2657306143469214</v>
      </c>
      <c r="AB33" s="192">
        <f>'[1]Cl Enr. st'!AG33/'[1]Cl Enr'!AJ34*100</f>
        <v>5.7346338716714333</v>
      </c>
      <c r="AC33" s="192">
        <f>'[1]Cl Enr. st'!AH33/'[1]Cl Enr'!AK34*100</f>
        <v>5.0001016595254537</v>
      </c>
      <c r="AD33" s="192">
        <f>'[1]Cl Enr. st'!AI33/'[1]Cl Enr'!AL34*100</f>
        <v>5.3576119906838349</v>
      </c>
      <c r="AE33" s="192">
        <f>('[1]Cl Enr. st'!U33+'[1]Cl Enr. st'!AG33)/('[1]Cl Enr'!X34+'[1]Cl Enr'!AJ34)*100</f>
        <v>6.8345433648826823</v>
      </c>
      <c r="AF33" s="192">
        <f>('[1]Cl Enr. st'!V33+'[1]Cl Enr. st'!AH33)/('[1]Cl Enr'!Y34+'[1]Cl Enr'!AK34)*100</f>
        <v>6.5349025448289089</v>
      </c>
      <c r="AG33" s="192">
        <f>('[1]Cl Enr. st'!W33+'[1]Cl Enr. st'!AI33)/('[1]Cl Enr'!Z34+'[1]Cl Enr'!AL34)*100</f>
        <v>6.6846410573053916</v>
      </c>
      <c r="AH33" s="192">
        <f>'[1]Cl Enr. st'!AS33/'[1]Cl Enr'!AV34*100</f>
        <v>5.083402978211768</v>
      </c>
      <c r="AI33" s="192">
        <f>'[1]Cl Enr. st'!AT33/'[1]Cl Enr'!AW34*100</f>
        <v>4.075963316330153</v>
      </c>
      <c r="AJ33" s="192">
        <f>'[1]Cl Enr. st'!AU33/'[1]Cl Enr'!AX34*100</f>
        <v>4.5708686614211684</v>
      </c>
      <c r="AK33" s="192">
        <f>'[1]Cl Enr. st'!AV33/'[1]Cl Enr'!AY34*100</f>
        <v>6.6282984209537696</v>
      </c>
      <c r="AL33" s="192">
        <f>'[1]Cl Enr. st'!AW33/'[1]Cl Enr'!AZ34*100</f>
        <v>6.2365185085951484</v>
      </c>
      <c r="AM33" s="192">
        <f>'[1]Cl Enr. st'!AX33/'[1]Cl Enr'!BA34*100</f>
        <v>6.4319043321629037</v>
      </c>
      <c r="AN33" s="192">
        <f>'[1]Cl Enr. st'!BE33/'[1]Cl Enr'!BH34*100</f>
        <v>3.7403479980643395</v>
      </c>
      <c r="AO33" s="192">
        <f>'[1]Cl Enr. st'!BF33/'[1]Cl Enr'!BI34*100</f>
        <v>2.8705876007874229</v>
      </c>
      <c r="AP33" s="192">
        <f>'[1]Cl Enr. st'!BG33/'[1]Cl Enr'!BJ34*100</f>
        <v>3.3591570935564699</v>
      </c>
      <c r="AQ33" s="192">
        <f>'[1]Cl Enr. st'!BH33/'[1]Cl Enr'!BK34*100</f>
        <v>6.440461408913797</v>
      </c>
      <c r="AR33" s="192">
        <f>'[1]Cl Enr. st'!BI33/'[1]Cl Enr'!BL34*100</f>
        <v>6.0640756239635527</v>
      </c>
      <c r="AS33" s="192">
        <f>'[1]Cl Enr. st'!BJ33/'[1]Cl Enr'!BM34*100</f>
        <v>6.2531638694756753</v>
      </c>
      <c r="AT33" s="192">
        <f>'Rural enrl'!V33/'[1]Cl Enr'!X34*100</f>
        <v>0</v>
      </c>
      <c r="AU33" s="192">
        <f>'Rural enrl'!W33/'[1]Cl Enr'!Y34*100</f>
        <v>0</v>
      </c>
      <c r="AV33" s="192">
        <f>'Rural enrl'!X33/'[1]Cl Enr'!Z34*100</f>
        <v>0</v>
      </c>
      <c r="AW33" s="192">
        <f>'Rural enrl'!AH33/'[1]Cl Enr'!AJ34*100</f>
        <v>0</v>
      </c>
      <c r="AX33" s="192">
        <f>'Rural enrl'!AI33/'[1]Cl Enr'!AK34*100</f>
        <v>0</v>
      </c>
      <c r="AY33" s="192">
        <f>'Rural enrl'!AJ33/'[1]Cl Enr'!AL34*100</f>
        <v>0</v>
      </c>
      <c r="AZ33" s="192">
        <f>('Rural enrl'!V33+'Rural enrl'!AH33)/('[1]Cl Enr'!X34+'[1]Cl Enr'!AJ34)*100</f>
        <v>0</v>
      </c>
      <c r="BA33" s="192">
        <f>('Rural enrl'!W33+'Rural enrl'!AI33)/('[1]Cl Enr'!Y34+'[1]Cl Enr'!AK34)*100</f>
        <v>0</v>
      </c>
      <c r="BB33" s="192">
        <f>('Rural enrl'!X33+'Rural enrl'!AJ33)/('[1]Cl Enr'!Z34+'[1]Cl Enr'!AL34)*100</f>
        <v>0</v>
      </c>
      <c r="BC33" s="191">
        <f>'Rural enrl'!AT33/'[1]Cl Enr'!AV34*100</f>
        <v>0</v>
      </c>
      <c r="BD33" s="191">
        <f>'Rural enrl'!AU33/'[1]Cl Enr'!AW34*100</f>
        <v>0</v>
      </c>
      <c r="BE33" s="191">
        <f>'Rural enrl'!AV33/'[1]Cl Enr'!AX34*100</f>
        <v>0</v>
      </c>
      <c r="BF33" s="191">
        <f>'Rural enrl'!AW33/'[1]Cl Enr'!AY34*100</f>
        <v>0</v>
      </c>
      <c r="BG33" s="191">
        <f>'Rural enrl'!AX33/'[1]Cl Enr'!AZ34*100</f>
        <v>0</v>
      </c>
      <c r="BH33" s="191">
        <f>'Rural enrl'!AY33/'[1]Cl Enr'!BA34*100</f>
        <v>0</v>
      </c>
      <c r="BI33" s="191">
        <f>'Rural enrl'!BF33/'[1]Cl Enr'!BH34*100</f>
        <v>0</v>
      </c>
      <c r="BJ33" s="191">
        <f>'Rural enrl'!BG33/'[1]Cl Enr'!BI34*100</f>
        <v>0</v>
      </c>
      <c r="BK33" s="191">
        <f>'Rural enrl'!BH33/'[1]Cl Enr'!BJ34*100</f>
        <v>0</v>
      </c>
      <c r="BL33" s="191">
        <f>'Rural enrl'!BI33/'[1]Cl Enr'!BK34*100</f>
        <v>0</v>
      </c>
      <c r="BM33" s="191">
        <f>'Rural enrl'!BJ33/'[1]Cl Enr'!BL34*100</f>
        <v>0</v>
      </c>
      <c r="BN33" s="191">
        <f>'Rural enrl'!BK33/'[1]Cl Enr'!BM34*100</f>
        <v>0</v>
      </c>
    </row>
    <row r="34" spans="2:66" ht="21.95" customHeight="1">
      <c r="B34" s="169">
        <v>29</v>
      </c>
      <c r="C34" s="173" t="s">
        <v>39</v>
      </c>
      <c r="D34" s="193" t="s">
        <v>168</v>
      </c>
      <c r="E34" s="193" t="s">
        <v>168</v>
      </c>
      <c r="F34" s="193" t="s">
        <v>168</v>
      </c>
      <c r="G34" s="193" t="s">
        <v>168</v>
      </c>
      <c r="H34" s="193" t="s">
        <v>168</v>
      </c>
      <c r="I34" s="193" t="s">
        <v>168</v>
      </c>
      <c r="J34" s="193" t="s">
        <v>168</v>
      </c>
      <c r="K34" s="193" t="s">
        <v>168</v>
      </c>
      <c r="L34" s="193" t="s">
        <v>168</v>
      </c>
      <c r="M34" s="193" t="s">
        <v>168</v>
      </c>
      <c r="N34" s="193" t="s">
        <v>168</v>
      </c>
      <c r="O34" s="193" t="s">
        <v>168</v>
      </c>
      <c r="P34" s="193" t="s">
        <v>168</v>
      </c>
      <c r="Q34" s="193" t="s">
        <v>168</v>
      </c>
      <c r="R34" s="193" t="s">
        <v>168</v>
      </c>
      <c r="S34" s="193" t="s">
        <v>168</v>
      </c>
      <c r="T34" s="193" t="s">
        <v>168</v>
      </c>
      <c r="U34" s="193" t="s">
        <v>168</v>
      </c>
      <c r="V34" s="193" t="s">
        <v>168</v>
      </c>
      <c r="W34" s="193" t="s">
        <v>168</v>
      </c>
      <c r="X34" s="193" t="s">
        <v>168</v>
      </c>
      <c r="Y34" s="192">
        <f>'[1]Cl Enr. st'!U34/'[1]Cl Enr'!X35*100</f>
        <v>7.070016521392354</v>
      </c>
      <c r="Z34" s="192">
        <f>'[1]Cl Enr. st'!V34/'[1]Cl Enr'!Y35*100</f>
        <v>7.016597759002936</v>
      </c>
      <c r="AA34" s="192">
        <f>'[1]Cl Enr. st'!W34/'[1]Cl Enr'!Z35*100</f>
        <v>7.0439810758717361</v>
      </c>
      <c r="AB34" s="192">
        <f>'[1]Cl Enr. st'!AG34/'[1]Cl Enr'!AJ35*100</f>
        <v>8.0048201067309357</v>
      </c>
      <c r="AC34" s="192">
        <f>'[1]Cl Enr. st'!AH34/'[1]Cl Enr'!AK35*100</f>
        <v>7.6226062587575898</v>
      </c>
      <c r="AD34" s="192">
        <f>'[1]Cl Enr. st'!AI34/'[1]Cl Enr'!AL35*100</f>
        <v>7.8215293643327506</v>
      </c>
      <c r="AE34" s="192">
        <f>('[1]Cl Enr. st'!U34+'[1]Cl Enr. st'!AG34)/('[1]Cl Enr'!X35+'[1]Cl Enr'!AJ35)*100</f>
        <v>7.442322854890131</v>
      </c>
      <c r="AF34" s="192">
        <f>('[1]Cl Enr. st'!V34+'[1]Cl Enr. st'!AH34)/('[1]Cl Enr'!Y35+'[1]Cl Enr'!AK35)*100</f>
        <v>7.2534131561655837</v>
      </c>
      <c r="AG34" s="192">
        <f>('[1]Cl Enr. st'!W34+'[1]Cl Enr. st'!AI34)/('[1]Cl Enr'!Z35+'[1]Cl Enr'!AL35)*100</f>
        <v>7.350835322195703</v>
      </c>
      <c r="AH34" s="192">
        <f>'[1]Cl Enr. st'!AS34/'[1]Cl Enr'!AV35*100</f>
        <v>6.3154698648853795</v>
      </c>
      <c r="AI34" s="192">
        <f>'[1]Cl Enr. st'!AT34/'[1]Cl Enr'!AW35*100</f>
        <v>7.0517015706806285</v>
      </c>
      <c r="AJ34" s="192">
        <f>'[1]Cl Enr. st'!AU34/'[1]Cl Enr'!AX35*100</f>
        <v>6.6698165209859051</v>
      </c>
      <c r="AK34" s="192">
        <f>'[1]Cl Enr. st'!AV34/'[1]Cl Enr'!AY35*100</f>
        <v>7.2347446725208346</v>
      </c>
      <c r="AL34" s="192">
        <f>'[1]Cl Enr. st'!AW34/'[1]Cl Enr'!AZ35*100</f>
        <v>7.2166179191786544</v>
      </c>
      <c r="AM34" s="192">
        <f>'[1]Cl Enr. st'!AX34/'[1]Cl Enr'!BA35*100</f>
        <v>7.2259759759759765</v>
      </c>
      <c r="AN34" s="192">
        <f>'[1]Cl Enr. st'!BE34/'[1]Cl Enr'!BH35*100</f>
        <v>7.1577484364141766</v>
      </c>
      <c r="AO34" s="192">
        <f>'[1]Cl Enr. st'!BF34/'[1]Cl Enr'!BI35*100</f>
        <v>8.6062796476168959</v>
      </c>
      <c r="AP34" s="192">
        <f>'[1]Cl Enr. st'!BG34/'[1]Cl Enr'!BJ35*100</f>
        <v>7.8911253430924058</v>
      </c>
      <c r="AQ34" s="192">
        <f>'[1]Cl Enr. st'!BH34/'[1]Cl Enr'!BK35*100</f>
        <v>7.2264504054897065</v>
      </c>
      <c r="AR34" s="192">
        <f>'[1]Cl Enr. st'!BI34/'[1]Cl Enr'!BL35*100</f>
        <v>7.3787994622096855</v>
      </c>
      <c r="AS34" s="192">
        <f>'[1]Cl Enr. st'!BJ34/'[1]Cl Enr'!BM35*100</f>
        <v>7.3005332786380883</v>
      </c>
      <c r="AT34" s="192">
        <f>'Rural enrl'!V34/'[1]Cl Enr'!X35*100</f>
        <v>0</v>
      </c>
      <c r="AU34" s="192">
        <f>'Rural enrl'!W34/'[1]Cl Enr'!Y35*100</f>
        <v>0</v>
      </c>
      <c r="AV34" s="192">
        <f>'Rural enrl'!X34/'[1]Cl Enr'!Z35*100</f>
        <v>0</v>
      </c>
      <c r="AW34" s="192">
        <f>'Rural enrl'!AH34/'[1]Cl Enr'!AJ35*100</f>
        <v>0</v>
      </c>
      <c r="AX34" s="192">
        <f>'Rural enrl'!AI34/'[1]Cl Enr'!AK35*100</f>
        <v>0</v>
      </c>
      <c r="AY34" s="192">
        <f>'Rural enrl'!AJ34/'[1]Cl Enr'!AL35*100</f>
        <v>0</v>
      </c>
      <c r="AZ34" s="192">
        <f>('Rural enrl'!V34+'Rural enrl'!AH34)/('[1]Cl Enr'!X35+'[1]Cl Enr'!AJ35)*100</f>
        <v>0</v>
      </c>
      <c r="BA34" s="192">
        <f>('Rural enrl'!W34+'Rural enrl'!AI34)/('[1]Cl Enr'!Y35+'[1]Cl Enr'!AK35)*100</f>
        <v>0</v>
      </c>
      <c r="BB34" s="192">
        <f>('Rural enrl'!X34+'Rural enrl'!AJ34)/('[1]Cl Enr'!Z35+'[1]Cl Enr'!AL35)*100</f>
        <v>0</v>
      </c>
      <c r="BC34" s="191">
        <f>'Rural enrl'!AT34/'[1]Cl Enr'!AV35*100</f>
        <v>0</v>
      </c>
      <c r="BD34" s="191">
        <f>'Rural enrl'!AU34/'[1]Cl Enr'!AW35*100</f>
        <v>0</v>
      </c>
      <c r="BE34" s="191">
        <f>'Rural enrl'!AV34/'[1]Cl Enr'!AX35*100</f>
        <v>0</v>
      </c>
      <c r="BF34" s="191">
        <f>'Rural enrl'!AW34/'[1]Cl Enr'!AY35*100</f>
        <v>0</v>
      </c>
      <c r="BG34" s="191">
        <f>'Rural enrl'!AX34/'[1]Cl Enr'!AZ35*100</f>
        <v>0</v>
      </c>
      <c r="BH34" s="191">
        <f>'Rural enrl'!AY34/'[1]Cl Enr'!BA35*100</f>
        <v>0</v>
      </c>
      <c r="BI34" s="191">
        <f>'Rural enrl'!BF34/'[1]Cl Enr'!BH35*100</f>
        <v>0</v>
      </c>
      <c r="BJ34" s="191">
        <f>'Rural enrl'!BG34/'[1]Cl Enr'!BI35*100</f>
        <v>0</v>
      </c>
      <c r="BK34" s="191">
        <f>'Rural enrl'!BH34/'[1]Cl Enr'!BJ35*100</f>
        <v>0</v>
      </c>
      <c r="BL34" s="191">
        <f>'Rural enrl'!BI34/'[1]Cl Enr'!BK35*100</f>
        <v>0</v>
      </c>
      <c r="BM34" s="191">
        <f>'Rural enrl'!BJ34/'[1]Cl Enr'!BL35*100</f>
        <v>0</v>
      </c>
      <c r="BN34" s="191">
        <f>'Rural enrl'!BK34/'[1]Cl Enr'!BM35*100</f>
        <v>0</v>
      </c>
    </row>
    <row r="35" spans="2:66" ht="21.95" customHeight="1">
      <c r="B35" s="169">
        <v>30</v>
      </c>
      <c r="C35" s="173" t="s">
        <v>40</v>
      </c>
      <c r="D35" s="192">
        <f>'[1]Cl Enr. sc'!U35/'[1]Cl Enr'!X36*100</f>
        <v>8.3181007333671015</v>
      </c>
      <c r="E35" s="192">
        <f>'[1]Cl Enr. sc'!V35/'[1]Cl Enr'!Y36*100</f>
        <v>8.3750521485189822</v>
      </c>
      <c r="F35" s="192">
        <f>'[1]Cl Enr. sc'!W35/'[1]Cl Enr'!Z36*100</f>
        <v>8.3441779390871424</v>
      </c>
      <c r="G35" s="192">
        <f>'[1]Cl Enr. sc'!AG35/'[1]Cl Enr'!AJ36*100</f>
        <v>10.259882869692532</v>
      </c>
      <c r="H35" s="192">
        <f>'[1]Cl Enr. sc'!AH35/'[1]Cl Enr'!AK36*100</f>
        <v>12.074728696368881</v>
      </c>
      <c r="I35" s="192">
        <f>'[1]Cl Enr. sc'!AI35/'[1]Cl Enr'!AL36*100</f>
        <v>11.066132346060742</v>
      </c>
      <c r="J35" s="192">
        <f>('[1]Cl Enr. sc'!U35+'[1]Cl Enr. sc'!AG35)/('[1]Cl Enr'!X36+'[1]Cl Enr'!AJ36)*100</f>
        <v>9.047533928252232</v>
      </c>
      <c r="K35" s="192">
        <f>('[1]Cl Enr. sc'!V35+'[1]Cl Enr. sc'!AH35)/('[1]Cl Enr'!Y36+'[1]Cl Enr'!AK36)*100</f>
        <v>9.7173996112375605</v>
      </c>
      <c r="L35" s="192">
        <f>('[1]Cl Enr. sc'!W35+'[1]Cl Enr. sc'!AI35)/('[1]Cl Enr'!Z36+'[1]Cl Enr'!AL36)*100</f>
        <v>9.3508779849230361</v>
      </c>
      <c r="M35" s="192">
        <f>'[1]Cl Enr. sc'!AS35/'[1]Cl Enr'!AV36*100</f>
        <v>8.223281143635127</v>
      </c>
      <c r="N35" s="192">
        <f>'[1]Cl Enr. sc'!AT35/'[1]Cl Enr'!AW36*100</f>
        <v>9.2332161392934875</v>
      </c>
      <c r="O35" s="192">
        <f>'[1]Cl Enr. sc'!AU35/'[1]Cl Enr'!AX36*100</f>
        <v>8.6762276618110832</v>
      </c>
      <c r="P35" s="192">
        <f>'[1]Cl Enr. sc'!AV35/'[1]Cl Enr'!AY36*100</f>
        <v>8.9090222725556814</v>
      </c>
      <c r="Q35" s="192">
        <f>'[1]Cl Enr. sc'!AW35/'[1]Cl Enr'!AZ36*100</f>
        <v>9.6372180711701354</v>
      </c>
      <c r="R35" s="192">
        <f>'[1]Cl Enr. sc'!AX35/'[1]Cl Enr'!BA36*100</f>
        <v>9.2382516264086139</v>
      </c>
      <c r="S35" s="192">
        <f>'[1]Cl Enr. sc'!BE35/'[1]Cl Enr'!BH36*100</f>
        <v>9.0691041099442504</v>
      </c>
      <c r="T35" s="192">
        <f>'[1]Cl Enr. sc'!BF35/'[1]Cl Enr'!BI36*100</f>
        <v>10.158883004333173</v>
      </c>
      <c r="U35" s="192">
        <f>'[1]Cl Enr. sc'!BG35/'[1]Cl Enr'!BJ36*100</f>
        <v>9.5560814687320708</v>
      </c>
      <c r="V35" s="192">
        <f>'[1]Cl Enr. sc'!BH35/'[1]Cl Enr'!BK36*100</f>
        <v>8.9330338477096145</v>
      </c>
      <c r="W35" s="192">
        <f>'[1]Cl Enr. sc'!BI35/'[1]Cl Enr'!BL36*100</f>
        <v>9.7140628139812524</v>
      </c>
      <c r="X35" s="192">
        <f>'[1]Cl Enr. sc'!BJ35/'[1]Cl Enr'!BM36*100</f>
        <v>9.2855389933952903</v>
      </c>
      <c r="Y35" s="192">
        <f>'[1]Cl Enr. st'!U35/'[1]Cl Enr'!X36*100</f>
        <v>0</v>
      </c>
      <c r="Z35" s="192">
        <f>'[1]Cl Enr. st'!V35/'[1]Cl Enr'!Y36*100</f>
        <v>0</v>
      </c>
      <c r="AA35" s="192">
        <f>'[1]Cl Enr. st'!W35/'[1]Cl Enr'!Z36*100</f>
        <v>0</v>
      </c>
      <c r="AB35" s="192">
        <f>'[1]Cl Enr. st'!AG35/'[1]Cl Enr'!AJ36*100</f>
        <v>0</v>
      </c>
      <c r="AC35" s="192">
        <f>'[1]Cl Enr. st'!AH35/'[1]Cl Enr'!AK36*100</f>
        <v>0</v>
      </c>
      <c r="AD35" s="192">
        <f>'[1]Cl Enr. st'!AI35/'[1]Cl Enr'!AL36*100</f>
        <v>0</v>
      </c>
      <c r="AE35" s="192">
        <f>('[1]Cl Enr. st'!U35+'[1]Cl Enr. st'!AG35)/('[1]Cl Enr'!X36+'[1]Cl Enr'!AJ36)*100</f>
        <v>0</v>
      </c>
      <c r="AF35" s="192">
        <f>('[1]Cl Enr. st'!V35+'[1]Cl Enr. st'!AH35)/('[1]Cl Enr'!Y36+'[1]Cl Enr'!AK36)*100</f>
        <v>0</v>
      </c>
      <c r="AG35" s="192">
        <f>('[1]Cl Enr. st'!W35+'[1]Cl Enr. st'!AI35)/('[1]Cl Enr'!Z36+'[1]Cl Enr'!AL36)*100</f>
        <v>0</v>
      </c>
      <c r="AH35" s="192">
        <f>'[1]Cl Enr. st'!AS35/'[1]Cl Enr'!AV36*100</f>
        <v>0</v>
      </c>
      <c r="AI35" s="192">
        <f>'[1]Cl Enr. st'!AT35/'[1]Cl Enr'!AW36*100</f>
        <v>0</v>
      </c>
      <c r="AJ35" s="192">
        <f>'[1]Cl Enr. st'!AU35/'[1]Cl Enr'!AX36*100</f>
        <v>0</v>
      </c>
      <c r="AK35" s="192">
        <f>'[1]Cl Enr. st'!AV35/'[1]Cl Enr'!AY36*100</f>
        <v>0</v>
      </c>
      <c r="AL35" s="192">
        <f>'[1]Cl Enr. st'!AW35/'[1]Cl Enr'!AZ36*100</f>
        <v>0</v>
      </c>
      <c r="AM35" s="192">
        <f>'[1]Cl Enr. st'!AX35/'[1]Cl Enr'!BA36*100</f>
        <v>0</v>
      </c>
      <c r="AN35" s="192">
        <f>'[1]Cl Enr. st'!BE35/'[1]Cl Enr'!BH36*100</f>
        <v>0</v>
      </c>
      <c r="AO35" s="192">
        <f>'[1]Cl Enr. st'!BF35/'[1]Cl Enr'!BI36*100</f>
        <v>0</v>
      </c>
      <c r="AP35" s="192">
        <f>'[1]Cl Enr. st'!BG35/'[1]Cl Enr'!BJ36*100</f>
        <v>0</v>
      </c>
      <c r="AQ35" s="192">
        <f>'[1]Cl Enr. st'!BH35/'[1]Cl Enr'!BK36*100</f>
        <v>0</v>
      </c>
      <c r="AR35" s="192">
        <f>'[1]Cl Enr. st'!BI35/'[1]Cl Enr'!BL36*100</f>
        <v>0</v>
      </c>
      <c r="AS35" s="192">
        <f>'[1]Cl Enr. st'!BJ35/'[1]Cl Enr'!BM36*100</f>
        <v>0</v>
      </c>
      <c r="AT35" s="192">
        <f>'Rural enrl'!V35/'[1]Cl Enr'!X36*100</f>
        <v>0</v>
      </c>
      <c r="AU35" s="192">
        <f>'Rural enrl'!W35/'[1]Cl Enr'!Y36*100</f>
        <v>0</v>
      </c>
      <c r="AV35" s="192">
        <f>'Rural enrl'!X35/'[1]Cl Enr'!Z36*100</f>
        <v>0</v>
      </c>
      <c r="AW35" s="192">
        <f>'Rural enrl'!AH35/'[1]Cl Enr'!AJ36*100</f>
        <v>0</v>
      </c>
      <c r="AX35" s="192">
        <f>'Rural enrl'!AI35/'[1]Cl Enr'!AK36*100</f>
        <v>0</v>
      </c>
      <c r="AY35" s="192">
        <f>'Rural enrl'!AJ35/'[1]Cl Enr'!AL36*100</f>
        <v>0</v>
      </c>
      <c r="AZ35" s="192">
        <f>('Rural enrl'!V35+'Rural enrl'!AH35)/('[1]Cl Enr'!X36+'[1]Cl Enr'!AJ36)*100</f>
        <v>0</v>
      </c>
      <c r="BA35" s="192">
        <f>('Rural enrl'!W35+'Rural enrl'!AI35)/('[1]Cl Enr'!Y36+'[1]Cl Enr'!AK36)*100</f>
        <v>0</v>
      </c>
      <c r="BB35" s="192">
        <f>('Rural enrl'!X35+'Rural enrl'!AJ35)/('[1]Cl Enr'!Z36+'[1]Cl Enr'!AL36)*100</f>
        <v>0</v>
      </c>
      <c r="BC35" s="191">
        <f>'Rural enrl'!AT35/'[1]Cl Enr'!AV36*100</f>
        <v>0</v>
      </c>
      <c r="BD35" s="191">
        <f>'Rural enrl'!AU35/'[1]Cl Enr'!AW36*100</f>
        <v>0</v>
      </c>
      <c r="BE35" s="191">
        <f>'Rural enrl'!AV35/'[1]Cl Enr'!AX36*100</f>
        <v>0</v>
      </c>
      <c r="BF35" s="191">
        <f>'Rural enrl'!AW35/'[1]Cl Enr'!AY36*100</f>
        <v>0</v>
      </c>
      <c r="BG35" s="191">
        <f>'Rural enrl'!AX35/'[1]Cl Enr'!AZ36*100</f>
        <v>0</v>
      </c>
      <c r="BH35" s="191">
        <f>'Rural enrl'!AY35/'[1]Cl Enr'!BA36*100</f>
        <v>0</v>
      </c>
      <c r="BI35" s="191">
        <f>'Rural enrl'!BF35/'[1]Cl Enr'!BH36*100</f>
        <v>0</v>
      </c>
      <c r="BJ35" s="191">
        <f>'Rural enrl'!BG35/'[1]Cl Enr'!BI36*100</f>
        <v>0</v>
      </c>
      <c r="BK35" s="191">
        <f>'Rural enrl'!BH35/'[1]Cl Enr'!BJ36*100</f>
        <v>0</v>
      </c>
      <c r="BL35" s="191">
        <f>'Rural enrl'!BI35/'[1]Cl Enr'!BK36*100</f>
        <v>0</v>
      </c>
      <c r="BM35" s="191">
        <f>'Rural enrl'!BJ35/'[1]Cl Enr'!BL36*100</f>
        <v>0</v>
      </c>
      <c r="BN35" s="191">
        <f>'Rural enrl'!BK35/'[1]Cl Enr'!BM36*100</f>
        <v>0</v>
      </c>
    </row>
    <row r="36" spans="2:66" ht="21.95" customHeight="1">
      <c r="B36" s="169">
        <v>31</v>
      </c>
      <c r="C36" s="173" t="s">
        <v>41</v>
      </c>
      <c r="D36" s="192">
        <f>'[1]Cl Enr. sc'!U36/'[1]Cl Enr'!X37*100</f>
        <v>1.8226529726602054</v>
      </c>
      <c r="E36" s="192">
        <f>'[1]Cl Enr. sc'!V36/'[1]Cl Enr'!Y37*100</f>
        <v>1.5807993277663988</v>
      </c>
      <c r="F36" s="192">
        <f>'[1]Cl Enr. sc'!W36/'[1]Cl Enr'!Z37*100</f>
        <v>1.7068878833584715</v>
      </c>
      <c r="G36" s="192">
        <f>'[1]Cl Enr. sc'!AG36/'[1]Cl Enr'!AJ37*100</f>
        <v>2.2084540821425005</v>
      </c>
      <c r="H36" s="192">
        <f>'[1]Cl Enr. sc'!AH36/'[1]Cl Enr'!AK37*100</f>
        <v>2.7166882276843469</v>
      </c>
      <c r="I36" s="192">
        <f>'[1]Cl Enr. sc'!AI36/'[1]Cl Enr'!AL37*100</f>
        <v>2.4299486948187408</v>
      </c>
      <c r="J36" s="192">
        <f>('[1]Cl Enr. sc'!U36+'[1]Cl Enr. sc'!AG36)/('[1]Cl Enr'!X37+'[1]Cl Enr'!AJ37)*100</f>
        <v>1.9482209067846226</v>
      </c>
      <c r="K36" s="192">
        <f>('[1]Cl Enr. sc'!V36+'[1]Cl Enr. sc'!AH36)/('[1]Cl Enr'!Y37+'[1]Cl Enr'!AK37)*100</f>
        <v>1.9087818908520415</v>
      </c>
      <c r="L36" s="192">
        <f>('[1]Cl Enr. sc'!W36+'[1]Cl Enr. sc'!AI36)/('[1]Cl Enr'!Z37+'[1]Cl Enr'!AL37)*100</f>
        <v>1.9298642140584525</v>
      </c>
      <c r="M36" s="192">
        <f>'[1]Cl Enr. sc'!AS36/'[1]Cl Enr'!AV37*100</f>
        <v>2.5316455696202533</v>
      </c>
      <c r="N36" s="192">
        <f>'[1]Cl Enr. sc'!AT36/'[1]Cl Enr'!AW37*100</f>
        <v>3.7169406719085059</v>
      </c>
      <c r="O36" s="192">
        <f>'[1]Cl Enr. sc'!AU36/'[1]Cl Enr'!AX37*100</f>
        <v>3.0231179608772969</v>
      </c>
      <c r="P36" s="192">
        <f>'[1]Cl Enr. sc'!AV36/'[1]Cl Enr'!AY37*100</f>
        <v>2.0146414572284987</v>
      </c>
      <c r="Q36" s="192">
        <f>'[1]Cl Enr. sc'!AW36/'[1]Cl Enr'!AZ37*100</f>
        <v>2.079880956407048</v>
      </c>
      <c r="R36" s="192">
        <f>'[1]Cl Enr. sc'!AX36/'[1]Cl Enr'!BA37*100</f>
        <v>2.044658834513343</v>
      </c>
      <c r="S36" s="192">
        <f>'[1]Cl Enr. sc'!BE36/'[1]Cl Enr'!BH37*100</f>
        <v>3.7142857142857144</v>
      </c>
      <c r="T36" s="192">
        <f>'[1]Cl Enr. sc'!BF36/'[1]Cl Enr'!BI37*100</f>
        <v>3.8430744595676538</v>
      </c>
      <c r="U36" s="192">
        <f>'[1]Cl Enr. sc'!BG36/'[1]Cl Enr'!BJ37*100</f>
        <v>3.7679226408802933</v>
      </c>
      <c r="V36" s="192">
        <f>'[1]Cl Enr. sc'!BH36/'[1]Cl Enr'!BK37*100</f>
        <v>2.0962519892443616</v>
      </c>
      <c r="W36" s="192">
        <f>'[1]Cl Enr. sc'!BI36/'[1]Cl Enr'!BL37*100</f>
        <v>2.1513401259004481</v>
      </c>
      <c r="X36" s="192">
        <f>'[1]Cl Enr. sc'!BJ36/'[1]Cl Enr'!BM37*100</f>
        <v>2.1214914367269269</v>
      </c>
      <c r="Y36" s="192">
        <f>'[1]Cl Enr. st'!U36/'[1]Cl Enr'!X37*100</f>
        <v>68.523072472153913</v>
      </c>
      <c r="Z36" s="192">
        <f>'[1]Cl Enr. st'!V36/'[1]Cl Enr'!Y37*100</f>
        <v>70.789349298881362</v>
      </c>
      <c r="AA36" s="192">
        <f>'[1]Cl Enr. st'!W36/'[1]Cl Enr'!Z37*100</f>
        <v>69.607843137254903</v>
      </c>
      <c r="AB36" s="192">
        <f>'[1]Cl Enr. st'!AG36/'[1]Cl Enr'!AJ37*100</f>
        <v>69.941041271110223</v>
      </c>
      <c r="AC36" s="192">
        <f>'[1]Cl Enr. st'!AH36/'[1]Cl Enr'!AK37*100</f>
        <v>68.421733505821464</v>
      </c>
      <c r="AD36" s="192">
        <f>'[1]Cl Enr. st'!AI36/'[1]Cl Enr'!AL37*100</f>
        <v>69.278908496363528</v>
      </c>
      <c r="AE36" s="192">
        <f>('[1]Cl Enr. st'!U36+'[1]Cl Enr. st'!AG36)/('[1]Cl Enr'!X37+'[1]Cl Enr'!AJ37)*100</f>
        <v>68.984583360437142</v>
      </c>
      <c r="AF36" s="192">
        <f>('[1]Cl Enr. st'!V36+'[1]Cl Enr. st'!AH36)/('[1]Cl Enr'!Y37+'[1]Cl Enr'!AK37)*100</f>
        <v>70.105711404131327</v>
      </c>
      <c r="AG36" s="192">
        <f>('[1]Cl Enr. st'!W36+'[1]Cl Enr. st'!AI36)/('[1]Cl Enr'!Z37+'[1]Cl Enr'!AL37)*100</f>
        <v>69.506406801467392</v>
      </c>
      <c r="AH36" s="192">
        <f>'[1]Cl Enr. st'!AS36/'[1]Cl Enr'!AV37*100</f>
        <v>64.455696202531641</v>
      </c>
      <c r="AI36" s="192">
        <f>'[1]Cl Enr. st'!AT36/'[1]Cl Enr'!AW37*100</f>
        <v>61.508220157255181</v>
      </c>
      <c r="AJ36" s="192">
        <f>'[1]Cl Enr. st'!AU36/'[1]Cl Enr'!AX37*100</f>
        <v>63.233550681683461</v>
      </c>
      <c r="AK36" s="192">
        <f>'[1]Cl Enr. st'!AV36/'[1]Cl Enr'!AY37*100</f>
        <v>68.468987779571137</v>
      </c>
      <c r="AL36" s="192">
        <f>'[1]Cl Enr. st'!AW36/'[1]Cl Enr'!AZ37*100</f>
        <v>69.29216409077074</v>
      </c>
      <c r="AM36" s="192">
        <f>'[1]Cl Enr. st'!AX36/'[1]Cl Enr'!BA37*100</f>
        <v>68.847739827277678</v>
      </c>
      <c r="AN36" s="192">
        <f>'[1]Cl Enr. st'!BE36/'[1]Cl Enr'!BH37*100</f>
        <v>65.257142857142853</v>
      </c>
      <c r="AO36" s="192">
        <f>'[1]Cl Enr. st'!BF36/'[1]Cl Enr'!BI37*100</f>
        <v>53.242594075260207</v>
      </c>
      <c r="AP36" s="192">
        <f>'[1]Cl Enr. st'!BG36/'[1]Cl Enr'!BJ37*100</f>
        <v>60.253417805935314</v>
      </c>
      <c r="AQ36" s="192">
        <f>'[1]Cl Enr. st'!BH36/'[1]Cl Enr'!BK37*100</f>
        <v>68.314767052625797</v>
      </c>
      <c r="AR36" s="192">
        <f>'[1]Cl Enr. st'!BI36/'[1]Cl Enr'!BL37*100</f>
        <v>68.641702900902075</v>
      </c>
      <c r="AS36" s="192">
        <f>'[1]Cl Enr. st'!BJ36/'[1]Cl Enr'!BM37*100</f>
        <v>68.464557564224549</v>
      </c>
      <c r="AT36" s="192">
        <f>'Rural enrl'!V36/'[1]Cl Enr'!X37*100</f>
        <v>70.316794445248092</v>
      </c>
      <c r="AU36" s="192">
        <f>'Rural enrl'!W36/'[1]Cl Enr'!Y37*100</f>
        <v>70.915393099101948</v>
      </c>
      <c r="AV36" s="192">
        <f>'Rural enrl'!X36/'[1]Cl Enr'!Z37*100</f>
        <v>70.603318250377072</v>
      </c>
      <c r="AW36" s="192">
        <f>'Rural enrl'!AH36/'[1]Cl Enr'!AJ37*100</f>
        <v>77.595683021884682</v>
      </c>
      <c r="AX36" s="192">
        <f>'Rural enrl'!AI36/'[1]Cl Enr'!AK37*100</f>
        <v>88.085381630012932</v>
      </c>
      <c r="AY36" s="192">
        <f>'Rural enrl'!AJ36/'[1]Cl Enr'!AL37*100</f>
        <v>82.167221063313974</v>
      </c>
      <c r="AZ36" s="192">
        <f>('Rural enrl'!V36+'Rural enrl'!AH36)/('[1]Cl Enr'!X37+'[1]Cl Enr'!AJ37)*100</f>
        <v>72.685877837767507</v>
      </c>
      <c r="BA36" s="192">
        <f>('Rural enrl'!W36+'Rural enrl'!AI36)/('[1]Cl Enr'!Y37+'[1]Cl Enr'!AK37)*100</f>
        <v>75.873146315042391</v>
      </c>
      <c r="BB36" s="192">
        <f>('Rural enrl'!X36+'Rural enrl'!AJ36)/('[1]Cl Enr'!Z37+'[1]Cl Enr'!AL37)*100</f>
        <v>74.169376010570787</v>
      </c>
      <c r="BC36" s="191">
        <f>'Rural enrl'!AT36/'[1]Cl Enr'!AV37*100</f>
        <v>90.379746835443044</v>
      </c>
      <c r="BD36" s="191">
        <f>'Rural enrl'!AU36/'[1]Cl Enr'!AW37*100</f>
        <v>94.960686204431738</v>
      </c>
      <c r="BE36" s="191">
        <f>'Rural enrl'!AV36/'[1]Cl Enr'!AX37*100</f>
        <v>92.279193835210435</v>
      </c>
      <c r="BF36" s="191">
        <f>'Rural enrl'!AW36/'[1]Cl Enr'!AY37*100</f>
        <v>74.700253631542552</v>
      </c>
      <c r="BG36" s="191">
        <f>'Rural enrl'!AX36/'[1]Cl Enr'!AZ37*100</f>
        <v>77.679326321485348</v>
      </c>
      <c r="BH36" s="191">
        <f>'Rural enrl'!AY36/'[1]Cl Enr'!BA37*100</f>
        <v>76.070956196996804</v>
      </c>
      <c r="BI36" s="191">
        <f>'Rural enrl'!BF36/'[1]Cl Enr'!BH37*100</f>
        <v>111.31428571428572</v>
      </c>
      <c r="BJ36" s="191">
        <f>'Rural enrl'!BG36/'[1]Cl Enr'!BI37*100</f>
        <v>90.552441953562848</v>
      </c>
      <c r="BK36" s="191">
        <f>'Rural enrl'!BH36/'[1]Cl Enr'!BJ37*100</f>
        <v>102.66755585195064</v>
      </c>
      <c r="BL36" s="191">
        <f>'Rural enrl'!BI36/'[1]Cl Enr'!BK37*100</f>
        <v>76.458321900894475</v>
      </c>
      <c r="BM36" s="191">
        <f>'Rural enrl'!BJ36/'[1]Cl Enr'!BL37*100</f>
        <v>78.201051333636187</v>
      </c>
      <c r="BN36" s="191">
        <f>'Rural enrl'!BK36/'[1]Cl Enr'!BM37*100</f>
        <v>77.256779257849658</v>
      </c>
    </row>
    <row r="37" spans="2:66" ht="21.95" customHeight="1">
      <c r="B37" s="169">
        <v>32</v>
      </c>
      <c r="C37" s="173" t="s">
        <v>42</v>
      </c>
      <c r="D37" s="192">
        <f>'[1]Cl Enr. sc'!U37/'[1]Cl Enr'!X38*100</f>
        <v>4.3063193940022826</v>
      </c>
      <c r="E37" s="192">
        <f>'[1]Cl Enr. sc'!V37/'[1]Cl Enr'!Y38*100</f>
        <v>4.19921875</v>
      </c>
      <c r="F37" s="192">
        <f>'[1]Cl Enr. sc'!W37/'[1]Cl Enr'!Z38*100</f>
        <v>4.2571092041056708</v>
      </c>
      <c r="G37" s="192">
        <f>'[1]Cl Enr. sc'!AG37/'[1]Cl Enr'!AJ38*100</f>
        <v>5.3553038105046342</v>
      </c>
      <c r="H37" s="192">
        <f>'[1]Cl Enr. sc'!AH37/'[1]Cl Enr'!AK38*100</f>
        <v>4.9730236922355147</v>
      </c>
      <c r="I37" s="192">
        <f>'[1]Cl Enr. sc'!AI37/'[1]Cl Enr'!AL38*100</f>
        <v>5.1765738100460625</v>
      </c>
      <c r="J37" s="192">
        <f>('[1]Cl Enr. sc'!U37+'[1]Cl Enr. sc'!AG37)/('[1]Cl Enr'!X38+'[1]Cl Enr'!AJ38)*100</f>
        <v>4.6577422025945348</v>
      </c>
      <c r="K37" s="192">
        <f>('[1]Cl Enr. sc'!V37+'[1]Cl Enr. sc'!AH37)/('[1]Cl Enr'!Y38+'[1]Cl Enr'!AK38)*100</f>
        <v>4.4640706543556803</v>
      </c>
      <c r="L37" s="192">
        <f>('[1]Cl Enr. sc'!W37+'[1]Cl Enr. sc'!AI37)/('[1]Cl Enr'!Z38+'[1]Cl Enr'!AL38)*100</f>
        <v>4.5682265187219357</v>
      </c>
      <c r="M37" s="192">
        <f>'[1]Cl Enr. sc'!AS37/'[1]Cl Enr'!AV38*100</f>
        <v>7.282132908873856</v>
      </c>
      <c r="N37" s="192">
        <f>'[1]Cl Enr. sc'!AT37/'[1]Cl Enr'!AW38*100</f>
        <v>6.4638783269961975</v>
      </c>
      <c r="O37" s="192">
        <f>'[1]Cl Enr. sc'!AU37/'[1]Cl Enr'!AX38*100</f>
        <v>6.8852459016393448</v>
      </c>
      <c r="P37" s="192">
        <f>'[1]Cl Enr. sc'!AV37/'[1]Cl Enr'!AY38*100</f>
        <v>5.0455748309320789</v>
      </c>
      <c r="Q37" s="192">
        <f>'[1]Cl Enr. sc'!AW37/'[1]Cl Enr'!AZ38*100</f>
        <v>4.7834300364323301</v>
      </c>
      <c r="R37" s="192">
        <f>'[1]Cl Enr. sc'!AX37/'[1]Cl Enr'!BA38*100</f>
        <v>4.9234926320419774</v>
      </c>
      <c r="S37" s="192">
        <f>'[1]Cl Enr. sc'!BE37/'[1]Cl Enr'!BH38*100</f>
        <v>5.1875</v>
      </c>
      <c r="T37" s="192">
        <f>'[1]Cl Enr. sc'!BF37/'[1]Cl Enr'!BI38*100</f>
        <v>5.4109589041095889</v>
      </c>
      <c r="U37" s="192">
        <f>'[1]Cl Enr. sc'!BG37/'[1]Cl Enr'!BJ38*100</f>
        <v>5.2941176470588234</v>
      </c>
      <c r="V37" s="192">
        <f>'[1]Cl Enr. sc'!BH37/'[1]Cl Enr'!BK38*100</f>
        <v>5.0577801666218756</v>
      </c>
      <c r="W37" s="192">
        <f>'[1]Cl Enr. sc'!BI37/'[1]Cl Enr'!BL38*100</f>
        <v>4.8397002825205746</v>
      </c>
      <c r="X37" s="192">
        <f>'[1]Cl Enr. sc'!BJ37/'[1]Cl Enr'!BM38*100</f>
        <v>4.9560008025912232</v>
      </c>
      <c r="Y37" s="192">
        <f>'[1]Cl Enr. st'!U37/'[1]Cl Enr'!X38*100</f>
        <v>11.497353948324166</v>
      </c>
      <c r="Z37" s="192">
        <f>'[1]Cl Enr. st'!V37/'[1]Cl Enr'!Y38*100</f>
        <v>11.8408203125</v>
      </c>
      <c r="AA37" s="192">
        <f>'[1]Cl Enr. st'!W37/'[1]Cl Enr'!Z38*100</f>
        <v>11.655168545627911</v>
      </c>
      <c r="AB37" s="192">
        <f>'[1]Cl Enr. st'!AG37/'[1]Cl Enr'!AJ38*100</f>
        <v>12.873326467559219</v>
      </c>
      <c r="AC37" s="192">
        <f>'[1]Cl Enr. st'!AH37/'[1]Cl Enr'!AK38*100</f>
        <v>11.400422237860662</v>
      </c>
      <c r="AD37" s="192">
        <f>'[1]Cl Enr. st'!AI37/'[1]Cl Enr'!AL38*100</f>
        <v>12.184689624917745</v>
      </c>
      <c r="AE37" s="192">
        <f>('[1]Cl Enr. st'!U37+'[1]Cl Enr. st'!AG37)/('[1]Cl Enr'!X38+'[1]Cl Enr'!AJ38)*100</f>
        <v>11.958321832735303</v>
      </c>
      <c r="AF37" s="192">
        <f>('[1]Cl Enr. st'!V37+'[1]Cl Enr. st'!AH37)/('[1]Cl Enr'!Y38+'[1]Cl Enr'!AK38)*100</f>
        <v>11.690084303492574</v>
      </c>
      <c r="AG37" s="192">
        <f>('[1]Cl Enr. st'!W37+'[1]Cl Enr. st'!AI37)/('[1]Cl Enr'!Z38+'[1]Cl Enr'!AL38)*100</f>
        <v>11.834341485137493</v>
      </c>
      <c r="AH37" s="192">
        <f>'[1]Cl Enr. st'!AS37/'[1]Cl Enr'!AV38*100</f>
        <v>10.584958217270195</v>
      </c>
      <c r="AI37" s="192">
        <f>'[1]Cl Enr. st'!AT37/'[1]Cl Enr'!AW38*100</f>
        <v>10.730882974228981</v>
      </c>
      <c r="AJ37" s="192">
        <f>'[1]Cl Enr. st'!AU37/'[1]Cl Enr'!AX38*100</f>
        <v>10.655737704918032</v>
      </c>
      <c r="AK37" s="192">
        <f>'[1]Cl Enr. st'!AV37/'[1]Cl Enr'!AY38*100</f>
        <v>11.755366068803292</v>
      </c>
      <c r="AL37" s="192">
        <f>'[1]Cl Enr. st'!AW37/'[1]Cl Enr'!AZ38*100</f>
        <v>11.536904601268384</v>
      </c>
      <c r="AM37" s="192">
        <f>'[1]Cl Enr. st'!AX37/'[1]Cl Enr'!BA38*100</f>
        <v>11.653627423256983</v>
      </c>
      <c r="AN37" s="192">
        <f>'[1]Cl Enr. st'!BE37/'[1]Cl Enr'!BH38*100</f>
        <v>7.8125</v>
      </c>
      <c r="AO37" s="192">
        <f>'[1]Cl Enr. st'!BF37/'[1]Cl Enr'!BI38*100</f>
        <v>8.287671232876713</v>
      </c>
      <c r="AP37" s="192">
        <f>'[1]Cl Enr. st'!BG37/'[1]Cl Enr'!BJ38*100</f>
        <v>8.0392156862745097</v>
      </c>
      <c r="AQ37" s="192">
        <f>'[1]Cl Enr. st'!BH37/'[1]Cl Enr'!BK38*100</f>
        <v>11.416285944638538</v>
      </c>
      <c r="AR37" s="192">
        <f>'[1]Cl Enr. st'!BI37/'[1]Cl Enr'!BL38*100</f>
        <v>11.245547230070017</v>
      </c>
      <c r="AS37" s="192">
        <f>'[1]Cl Enr. st'!BJ37/'[1]Cl Enr'!BM38*100</f>
        <v>11.336601026170207</v>
      </c>
      <c r="AT37" s="192">
        <f>'Rural enrl'!V37/'[1]Cl Enr'!X38*100</f>
        <v>57.881083324686109</v>
      </c>
      <c r="AU37" s="192">
        <f>'Rural enrl'!W37/'[1]Cl Enr'!Y38*100</f>
        <v>60.3271484375</v>
      </c>
      <c r="AV37" s="192">
        <f>'Rural enrl'!X37/'[1]Cl Enr'!Z38*100</f>
        <v>59.004991867182675</v>
      </c>
      <c r="AW37" s="192">
        <f>'Rural enrl'!AH37/'[1]Cl Enr'!AJ38*100</f>
        <v>55.983522142121522</v>
      </c>
      <c r="AX37" s="192">
        <f>'Rural enrl'!AI37/'[1]Cl Enr'!AK38*100</f>
        <v>58.667604973023693</v>
      </c>
      <c r="AY37" s="192">
        <f>'Rural enrl'!AJ37/'[1]Cl Enr'!AL38*100</f>
        <v>57.238429480149158</v>
      </c>
      <c r="AZ37" s="192">
        <f>('Rural enrl'!V37+'Rural enrl'!AH37)/('[1]Cl Enr'!X38+'[1]Cl Enr'!AJ38)*100</f>
        <v>57.245376759591501</v>
      </c>
      <c r="BA37" s="192">
        <f>('Rural enrl'!W37+'Rural enrl'!AI37)/('[1]Cl Enr'!Y38+'[1]Cl Enr'!AK38)*100</f>
        <v>59.759132878362109</v>
      </c>
      <c r="BB37" s="192">
        <f>('Rural enrl'!X37+'Rural enrl'!AJ37)/('[1]Cl Enr'!Z38+'[1]Cl Enr'!AL38)*100</f>
        <v>58.407243849036995</v>
      </c>
      <c r="BC37" s="191">
        <f>'Rural enrl'!AT37/'[1]Cl Enr'!AV38*100</f>
        <v>59.848786311181854</v>
      </c>
      <c r="BD37" s="191">
        <f>'Rural enrl'!AU37/'[1]Cl Enr'!AW38*100</f>
        <v>62.568652302492609</v>
      </c>
      <c r="BE37" s="191">
        <f>'Rural enrl'!AV37/'[1]Cl Enr'!AX38*100</f>
        <v>61.168032786885249</v>
      </c>
      <c r="BF37" s="191">
        <f>'Rural enrl'!AW37/'[1]Cl Enr'!AY38*100</f>
        <v>57.630108791531896</v>
      </c>
      <c r="BG37" s="191">
        <f>'Rural enrl'!AX37/'[1]Cl Enr'!AZ38*100</f>
        <v>60.207799217379574</v>
      </c>
      <c r="BH37" s="191">
        <f>'Rural enrl'!AY37/'[1]Cl Enr'!BA38*100</f>
        <v>58.830552675401393</v>
      </c>
      <c r="BI37" s="191">
        <f>'Rural enrl'!BF37/'[1]Cl Enr'!BH38*100</f>
        <v>48.75</v>
      </c>
      <c r="BJ37" s="191">
        <f>'Rural enrl'!BG37/'[1]Cl Enr'!BI38*100</f>
        <v>46.506849315068493</v>
      </c>
      <c r="BK37" s="191">
        <f>'Rural enrl'!BH37/'[1]Cl Enr'!BJ38*100</f>
        <v>47.679738562091508</v>
      </c>
      <c r="BL37" s="191">
        <f>'Rural enrl'!BI37/'[1]Cl Enr'!BK38*100</f>
        <v>56.866433754367108</v>
      </c>
      <c r="BM37" s="191">
        <f>'Rural enrl'!BJ37/'[1]Cl Enr'!BL38*100</f>
        <v>58.979240879498832</v>
      </c>
      <c r="BN37" s="191">
        <f>'Rural enrl'!BK37/'[1]Cl Enr'!BM38*100</f>
        <v>57.852495198784645</v>
      </c>
    </row>
    <row r="38" spans="2:66" ht="21.95" customHeight="1">
      <c r="B38" s="169">
        <v>33</v>
      </c>
      <c r="C38" s="173" t="s">
        <v>43</v>
      </c>
      <c r="D38" s="192">
        <f>'[1]Cl Enr. sc'!U38/'[1]Cl Enr'!X39*100</f>
        <v>10.61072170372884</v>
      </c>
      <c r="E38" s="192">
        <f>'[1]Cl Enr. sc'!V38/'[1]Cl Enr'!Y39*100</f>
        <v>10.220699922543783</v>
      </c>
      <c r="F38" s="192">
        <f>'[1]Cl Enr. sc'!W38/'[1]Cl Enr'!Z39*100</f>
        <v>10.428256543323025</v>
      </c>
      <c r="G38" s="192">
        <f>'[1]Cl Enr. sc'!AG38/'[1]Cl Enr'!AJ39*100</f>
        <v>9.6419879121448169</v>
      </c>
      <c r="H38" s="192">
        <f>'[1]Cl Enr. sc'!AH38/'[1]Cl Enr'!AK39*100</f>
        <v>11.400611513627643</v>
      </c>
      <c r="I38" s="192">
        <f>'[1]Cl Enr. sc'!AI38/'[1]Cl Enr'!AL39*100</f>
        <v>10.447116155944167</v>
      </c>
      <c r="J38" s="192">
        <f>('[1]Cl Enr. sc'!U38+'[1]Cl Enr. sc'!AG38)/('[1]Cl Enr'!X39+'[1]Cl Enr'!AJ39)*100</f>
        <v>10.248318929760703</v>
      </c>
      <c r="K38" s="192">
        <f>('[1]Cl Enr. sc'!V38+'[1]Cl Enr. sc'!AH38)/('[1]Cl Enr'!Y39+'[1]Cl Enr'!AK39)*100</f>
        <v>10.65103126547697</v>
      </c>
      <c r="L38" s="192">
        <f>('[1]Cl Enr. sc'!W38+'[1]Cl Enr. sc'!AI38)/('[1]Cl Enr'!Z39+'[1]Cl Enr'!AL39)*100</f>
        <v>10.435229768142669</v>
      </c>
      <c r="M38" s="192">
        <f>'[1]Cl Enr. sc'!AS38/'[1]Cl Enr'!AV39*100</f>
        <v>10.193238446922166</v>
      </c>
      <c r="N38" s="192">
        <f>'[1]Cl Enr. sc'!AT38/'[1]Cl Enr'!AW39*100</f>
        <v>12.621045293826166</v>
      </c>
      <c r="O38" s="192">
        <f>'[1]Cl Enr. sc'!AU38/'[1]Cl Enr'!AX39*100</f>
        <v>11.311365711014497</v>
      </c>
      <c r="P38" s="192">
        <f>'[1]Cl Enr. sc'!AV38/'[1]Cl Enr'!AY39*100</f>
        <v>10.239408822998929</v>
      </c>
      <c r="Q38" s="192">
        <f>'[1]Cl Enr. sc'!AW38/'[1]Cl Enr'!AZ39*100</f>
        <v>10.965883084092956</v>
      </c>
      <c r="R38" s="192">
        <f>'[1]Cl Enr. sc'!AX38/'[1]Cl Enr'!BA39*100</f>
        <v>10.576168930987096</v>
      </c>
      <c r="S38" s="192">
        <f>'[1]Cl Enr. sc'!BE38/'[1]Cl Enr'!BH39*100</f>
        <v>9.6656973250979359</v>
      </c>
      <c r="T38" s="192">
        <f>'[1]Cl Enr. sc'!BF38/'[1]Cl Enr'!BI39*100</f>
        <v>11.87599311440678</v>
      </c>
      <c r="U38" s="192">
        <f>'[1]Cl Enr. sc'!BG38/'[1]Cl Enr'!BJ39*100</f>
        <v>10.694772318022672</v>
      </c>
      <c r="V38" s="192">
        <f>'[1]Cl Enr. sc'!BH38/'[1]Cl Enr'!BK39*100</f>
        <v>10.177640097415871</v>
      </c>
      <c r="W38" s="192">
        <f>'[1]Cl Enr. sc'!BI38/'[1]Cl Enr'!BL39*100</f>
        <v>11.064585499885714</v>
      </c>
      <c r="X38" s="192">
        <f>'[1]Cl Enr. sc'!BJ38/'[1]Cl Enr'!BM39*100</f>
        <v>10.588981611599145</v>
      </c>
      <c r="Y38" s="192">
        <f>'[1]Cl Enr. st'!U38/'[1]Cl Enr'!X39*100</f>
        <v>0.34455276123057399</v>
      </c>
      <c r="Z38" s="192">
        <f>'[1]Cl Enr. st'!V38/'[1]Cl Enr'!Y39*100</f>
        <v>0.3314522537747332</v>
      </c>
      <c r="AA38" s="192">
        <f>'[1]Cl Enr. st'!W38/'[1]Cl Enr'!Z39*100</f>
        <v>0.33842390815199841</v>
      </c>
      <c r="AB38" s="192">
        <f>'[1]Cl Enr. st'!AG38/'[1]Cl Enr'!AJ39*100</f>
        <v>0.30552534824711303</v>
      </c>
      <c r="AC38" s="192">
        <f>'[1]Cl Enr. st'!AH38/'[1]Cl Enr'!AK39*100</f>
        <v>0.31167044847253006</v>
      </c>
      <c r="AD38" s="192">
        <f>'[1]Cl Enr. st'!AI38/'[1]Cl Enr'!AL39*100</f>
        <v>0.30833868121289909</v>
      </c>
      <c r="AE38" s="192">
        <f>('[1]Cl Enr. st'!U38+'[1]Cl Enr. st'!AG38)/('[1]Cl Enr'!X39+'[1]Cl Enr'!AJ39)*100</f>
        <v>0.32995262768627032</v>
      </c>
      <c r="AF38" s="192">
        <f>('[1]Cl Enr. st'!V38+'[1]Cl Enr. st'!AH38)/('[1]Cl Enr'!Y39+'[1]Cl Enr'!AK39)*100</f>
        <v>0.32423753454859167</v>
      </c>
      <c r="AG38" s="192">
        <f>('[1]Cl Enr. st'!W38+'[1]Cl Enr. st'!AI38)/('[1]Cl Enr'!Z39+'[1]Cl Enr'!AL39)*100</f>
        <v>0.32730008204747185</v>
      </c>
      <c r="AH38" s="192">
        <f>'[1]Cl Enr. st'!AS38/'[1]Cl Enr'!AV39*100</f>
        <v>0.37106083963718495</v>
      </c>
      <c r="AI38" s="192">
        <f>'[1]Cl Enr. st'!AT38/'[1]Cl Enr'!AW39*100</f>
        <v>0.36995977054935458</v>
      </c>
      <c r="AJ38" s="192">
        <f>'[1]Cl Enr. st'!AU38/'[1]Cl Enr'!AX39*100</f>
        <v>0.37055374189655438</v>
      </c>
      <c r="AK38" s="192">
        <f>'[1]Cl Enr. st'!AV38/'[1]Cl Enr'!AY39*100</f>
        <v>0.33660250688834642</v>
      </c>
      <c r="AL38" s="192">
        <f>'[1]Cl Enr. st'!AW38/'[1]Cl Enr'!AZ39*100</f>
        <v>0.33154495924144661</v>
      </c>
      <c r="AM38" s="192">
        <f>'[1]Cl Enr. st'!AX38/'[1]Cl Enr'!BA39*100</f>
        <v>0.33425806004013958</v>
      </c>
      <c r="AN38" s="192">
        <f>'[1]Cl Enr. st'!BE38/'[1]Cl Enr'!BH39*100</f>
        <v>0.42394674229133122</v>
      </c>
      <c r="AO38" s="192">
        <f>'[1]Cl Enr. st'!BF38/'[1]Cl Enr'!BI39*100</f>
        <v>0.4816604872881356</v>
      </c>
      <c r="AP38" s="192">
        <f>'[1]Cl Enr. st'!BG38/'[1]Cl Enr'!BJ39*100</f>
        <v>0.45081725075971052</v>
      </c>
      <c r="AQ38" s="192">
        <f>'[1]Cl Enr. st'!BH38/'[1]Cl Enr'!BK39*100</f>
        <v>0.34600643574040513</v>
      </c>
      <c r="AR38" s="192">
        <f>'[1]Cl Enr. st'!BI38/'[1]Cl Enr'!BL39*100</f>
        <v>0.3478251503971298</v>
      </c>
      <c r="AS38" s="192">
        <f>'[1]Cl Enr. st'!BJ38/'[1]Cl Enr'!BM39*100</f>
        <v>0.34684990687028661</v>
      </c>
      <c r="AT38" s="192">
        <f>'Rural enrl'!V38/'[1]Cl Enr'!X39*100</f>
        <v>1.7045247283206451</v>
      </c>
      <c r="AU38" s="192">
        <f>'Rural enrl'!W38/'[1]Cl Enr'!Y39*100</f>
        <v>1.6459446137751355</v>
      </c>
      <c r="AV38" s="192">
        <f>'Rural enrl'!X38/'[1]Cl Enr'!Z39*100</f>
        <v>1.6771190025053839</v>
      </c>
      <c r="AW38" s="192">
        <f>'Rural enrl'!AH38/'[1]Cl Enr'!AJ39*100</f>
        <v>1.7110899043476333</v>
      </c>
      <c r="AX38" s="192">
        <f>'Rural enrl'!AI38/'[1]Cl Enr'!AK39*100</f>
        <v>1.5640468535083183</v>
      </c>
      <c r="AY38" s="192">
        <f>'Rural enrl'!AJ38/'[1]Cl Enr'!AL39*100</f>
        <v>1.6437710572757902</v>
      </c>
      <c r="AZ38" s="192">
        <f>('Rural enrl'!V38+'Rural enrl'!AH38)/('[1]Cl Enr'!X39+'[1]Cl Enr'!AJ39)*100</f>
        <v>1.7069807570299145</v>
      </c>
      <c r="BA38" s="192">
        <f>('Rural enrl'!W38+'Rural enrl'!AI38)/('[1]Cl Enr'!Y39+'[1]Cl Enr'!AK39)*100</f>
        <v>1.6160752799833848</v>
      </c>
      <c r="BB38" s="192">
        <f>('Rural enrl'!X38+'Rural enrl'!AJ38)/('[1]Cl Enr'!Z39+'[1]Cl Enr'!AL39)*100</f>
        <v>1.6647888065448153</v>
      </c>
      <c r="BC38" s="191">
        <f>'Rural enrl'!AT38/'[1]Cl Enr'!AV39*100</f>
        <v>2.6382963467536658</v>
      </c>
      <c r="BD38" s="191">
        <f>'Rural enrl'!AU38/'[1]Cl Enr'!AW39*100</f>
        <v>2.2949263859843616</v>
      </c>
      <c r="BE38" s="191">
        <f>'Rural enrl'!AV38/'[1]Cl Enr'!AX39*100</f>
        <v>2.4801571952408215</v>
      </c>
      <c r="BF38" s="191">
        <f>'Rural enrl'!AW38/'[1]Cl Enr'!AY39*100</f>
        <v>1.8576352340007967</v>
      </c>
      <c r="BG38" s="191">
        <f>'Rural enrl'!AX38/'[1]Cl Enr'!AZ39*100</f>
        <v>1.7245707029692736</v>
      </c>
      <c r="BH38" s="191">
        <f>'Rural enrl'!AY38/'[1]Cl Enr'!BA39*100</f>
        <v>1.79595262769333</v>
      </c>
      <c r="BI38" s="191">
        <f>'Rural enrl'!BF38/'[1]Cl Enr'!BH39*100</f>
        <v>2.1653969093225025</v>
      </c>
      <c r="BJ38" s="191">
        <f>'Rural enrl'!BG38/'[1]Cl Enr'!BI39*100</f>
        <v>2.0380914548022599</v>
      </c>
      <c r="BK38" s="191">
        <f>'Rural enrl'!BH38/'[1]Cl Enr'!BJ39*100</f>
        <v>2.1061257202158785</v>
      </c>
      <c r="BL38" s="191">
        <f>'Rural enrl'!BI38/'[1]Cl Enr'!BK39*100</f>
        <v>1.8907704361668325</v>
      </c>
      <c r="BM38" s="191">
        <f>'Rural enrl'!BJ38/'[1]Cl Enr'!BL39*100</f>
        <v>1.7585723671377333</v>
      </c>
      <c r="BN38" s="191">
        <f>'Rural enrl'!BK38/'[1]Cl Enr'!BM39*100</f>
        <v>1.8294605136675346</v>
      </c>
    </row>
    <row r="39" spans="2:66" ht="21.95" customHeight="1">
      <c r="B39" s="169">
        <v>34</v>
      </c>
      <c r="C39" s="173" t="s">
        <v>58</v>
      </c>
      <c r="D39" s="193" t="s">
        <v>168</v>
      </c>
      <c r="E39" s="193" t="s">
        <v>168</v>
      </c>
      <c r="F39" s="193" t="s">
        <v>168</v>
      </c>
      <c r="G39" s="193" t="s">
        <v>168</v>
      </c>
      <c r="H39" s="193" t="s">
        <v>168</v>
      </c>
      <c r="I39" s="193" t="s">
        <v>168</v>
      </c>
      <c r="J39" s="193" t="s">
        <v>168</v>
      </c>
      <c r="K39" s="193" t="s">
        <v>168</v>
      </c>
      <c r="L39" s="193" t="s">
        <v>168</v>
      </c>
      <c r="M39" s="193" t="s">
        <v>168</v>
      </c>
      <c r="N39" s="193" t="s">
        <v>168</v>
      </c>
      <c r="O39" s="193" t="s">
        <v>168</v>
      </c>
      <c r="P39" s="193" t="s">
        <v>168</v>
      </c>
      <c r="Q39" s="193" t="s">
        <v>168</v>
      </c>
      <c r="R39" s="193" t="s">
        <v>168</v>
      </c>
      <c r="S39" s="193" t="s">
        <v>168</v>
      </c>
      <c r="T39" s="193" t="s">
        <v>168</v>
      </c>
      <c r="U39" s="193" t="s">
        <v>168</v>
      </c>
      <c r="V39" s="193" t="s">
        <v>168</v>
      </c>
      <c r="W39" s="193" t="s">
        <v>168</v>
      </c>
      <c r="X39" s="193" t="s">
        <v>168</v>
      </c>
      <c r="Y39" s="192">
        <f>'[1]Cl Enr. st'!U39/'[1]Cl Enr'!X40*100</f>
        <v>98.018337769890564</v>
      </c>
      <c r="Z39" s="192">
        <f>'[1]Cl Enr. st'!V39/'[1]Cl Enr'!Y40*100</f>
        <v>98.224852071005913</v>
      </c>
      <c r="AA39" s="192">
        <f>'[1]Cl Enr. st'!W39/'[1]Cl Enr'!Z40*100</f>
        <v>98.121579647981065</v>
      </c>
      <c r="AB39" s="192">
        <f>'[1]Cl Enr. st'!AG39/'[1]Cl Enr'!AJ40*100</f>
        <v>98.05269186712485</v>
      </c>
      <c r="AC39" s="192">
        <f>'[1]Cl Enr. st'!AH39/'[1]Cl Enr'!AK40*100</f>
        <v>98.072562358276656</v>
      </c>
      <c r="AD39" s="192">
        <f>'[1]Cl Enr. st'!AI39/'[1]Cl Enr'!AL40*100</f>
        <v>98.06267806267806</v>
      </c>
      <c r="AE39" s="192">
        <f>('[1]Cl Enr. st'!U39+'[1]Cl Enr. st'!AG39)/('[1]Cl Enr'!X40+'[1]Cl Enr'!AJ40)*100</f>
        <v>98.0300370587088</v>
      </c>
      <c r="AF39" s="192">
        <f>('[1]Cl Enr. st'!V39+'[1]Cl Enr. st'!AH39)/('[1]Cl Enr'!Y40+'[1]Cl Enr'!AK40)*100</f>
        <v>98.172628304821146</v>
      </c>
      <c r="AG39" s="192">
        <f>('[1]Cl Enr. st'!W39+'[1]Cl Enr. st'!AI39)/('[1]Cl Enr'!Z40+'[1]Cl Enr'!AL40)*100</f>
        <v>98.101450686398593</v>
      </c>
      <c r="AH39" s="192">
        <f>'[1]Cl Enr. st'!AS39/'[1]Cl Enr'!AV40*100</f>
        <v>98.031496062992133</v>
      </c>
      <c r="AI39" s="192">
        <f>'[1]Cl Enr. st'!AT39/'[1]Cl Enr'!AW40*100</f>
        <v>97.9903536977492</v>
      </c>
      <c r="AJ39" s="192">
        <f>'[1]Cl Enr. st'!AU39/'[1]Cl Enr'!AX40*100</f>
        <v>98.011137629276064</v>
      </c>
      <c r="AK39" s="192">
        <f>'[1]Cl Enr. st'!AV39/'[1]Cl Enr'!AY40*100</f>
        <v>98.030326715647959</v>
      </c>
      <c r="AL39" s="192">
        <f>'[1]Cl Enr. st'!AW39/'[1]Cl Enr'!AZ40*100</f>
        <v>98.137132122730122</v>
      </c>
      <c r="AM39" s="192">
        <f>'[1]Cl Enr. st'!AX39/'[1]Cl Enr'!BA40*100</f>
        <v>98.083691826359015</v>
      </c>
      <c r="AN39" s="192">
        <f>'[1]Cl Enr. st'!BE39/'[1]Cl Enr'!BH40*100</f>
        <v>98.042553191489361</v>
      </c>
      <c r="AO39" s="192">
        <f>'[1]Cl Enr. st'!BF39/'[1]Cl Enr'!BI40*100</f>
        <v>98.018949181739885</v>
      </c>
      <c r="AP39" s="192">
        <f>'[1]Cl Enr. st'!BG39/'[1]Cl Enr'!BJ40*100</f>
        <v>98.030821917808225</v>
      </c>
      <c r="AQ39" s="192">
        <f>'[1]Cl Enr. st'!BH39/'[1]Cl Enr'!BK40*100</f>
        <v>98.032223983095605</v>
      </c>
      <c r="AR39" s="192">
        <f>'[1]Cl Enr. st'!BI39/'[1]Cl Enr'!BL40*100</f>
        <v>98.118956153132871</v>
      </c>
      <c r="AS39" s="192">
        <f>'[1]Cl Enr. st'!BJ39/'[1]Cl Enr'!BM40*100</f>
        <v>98.075524105548567</v>
      </c>
      <c r="AT39" s="192">
        <f>'Rural enrl'!V39/'[1]Cl Enr'!X40*100</f>
        <v>0</v>
      </c>
      <c r="AU39" s="192">
        <f>'Rural enrl'!W39/'[1]Cl Enr'!Y40*100</f>
        <v>0</v>
      </c>
      <c r="AV39" s="192">
        <f>'Rural enrl'!X39/'[1]Cl Enr'!Z40*100</f>
        <v>0</v>
      </c>
      <c r="AW39" s="192">
        <f>'Rural enrl'!AH39/'[1]Cl Enr'!AJ40*100</f>
        <v>0</v>
      </c>
      <c r="AX39" s="192">
        <f>'Rural enrl'!AI39/'[1]Cl Enr'!AK40*100</f>
        <v>0</v>
      </c>
      <c r="AY39" s="192">
        <f>'Rural enrl'!AJ39/'[1]Cl Enr'!AL40*100</f>
        <v>0</v>
      </c>
      <c r="AZ39" s="192">
        <f>('Rural enrl'!V39+'Rural enrl'!AH39)/('[1]Cl Enr'!X40+'[1]Cl Enr'!AJ40)*100</f>
        <v>0</v>
      </c>
      <c r="BA39" s="192">
        <f>('Rural enrl'!W39+'Rural enrl'!AI39)/('[1]Cl Enr'!Y40+'[1]Cl Enr'!AK40)*100</f>
        <v>0</v>
      </c>
      <c r="BB39" s="192">
        <f>('Rural enrl'!X39+'Rural enrl'!AJ39)/('[1]Cl Enr'!Z40+'[1]Cl Enr'!AL40)*100</f>
        <v>0</v>
      </c>
      <c r="BC39" s="191">
        <f>'Rural enrl'!AT39/'[1]Cl Enr'!AV40*100</f>
        <v>0</v>
      </c>
      <c r="BD39" s="191">
        <f>'Rural enrl'!AU39/'[1]Cl Enr'!AW40*100</f>
        <v>0</v>
      </c>
      <c r="BE39" s="191">
        <f>'Rural enrl'!AV39/'[1]Cl Enr'!AX40*100</f>
        <v>0</v>
      </c>
      <c r="BF39" s="191">
        <f>'Rural enrl'!AW39/'[1]Cl Enr'!AY40*100</f>
        <v>0</v>
      </c>
      <c r="BG39" s="191">
        <f>'Rural enrl'!AX39/'[1]Cl Enr'!AZ40*100</f>
        <v>0</v>
      </c>
      <c r="BH39" s="191">
        <f>'Rural enrl'!AY39/'[1]Cl Enr'!BA40*100</f>
        <v>0</v>
      </c>
      <c r="BI39" s="191">
        <f>'Rural enrl'!BF39/'[1]Cl Enr'!BH40*100</f>
        <v>0</v>
      </c>
      <c r="BJ39" s="191">
        <f>'Rural enrl'!BG39/'[1]Cl Enr'!BI40*100</f>
        <v>0</v>
      </c>
      <c r="BK39" s="191">
        <f>'Rural enrl'!BH39/'[1]Cl Enr'!BJ40*100</f>
        <v>0</v>
      </c>
      <c r="BL39" s="191">
        <f>'Rural enrl'!BI39/'[1]Cl Enr'!BK40*100</f>
        <v>0</v>
      </c>
      <c r="BM39" s="191">
        <f>'Rural enrl'!BJ39/'[1]Cl Enr'!BL40*100</f>
        <v>0</v>
      </c>
      <c r="BN39" s="191">
        <f>'Rural enrl'!BK39/'[1]Cl Enr'!BM40*100</f>
        <v>0</v>
      </c>
    </row>
    <row r="40" spans="2:66" ht="21.95" customHeight="1">
      <c r="B40" s="169">
        <v>35</v>
      </c>
      <c r="C40" s="173" t="s">
        <v>45</v>
      </c>
      <c r="D40" s="192">
        <f>'[1]Cl Enr. sc'!U40/'[1]Cl Enr'!X41*100</f>
        <v>18.625560852495791</v>
      </c>
      <c r="E40" s="192">
        <f>'[1]Cl Enr. sc'!V40/'[1]Cl Enr'!Y41*100</f>
        <v>19.09189268489483</v>
      </c>
      <c r="F40" s="192">
        <f>'[1]Cl Enr. sc'!W40/'[1]Cl Enr'!Z41*100</f>
        <v>18.853450670777061</v>
      </c>
      <c r="G40" s="192">
        <f>'[1]Cl Enr. sc'!AG40/'[1]Cl Enr'!AJ41*100</f>
        <v>18.82246027593424</v>
      </c>
      <c r="H40" s="192">
        <f>'[1]Cl Enr. sc'!AH40/'[1]Cl Enr'!AK41*100</f>
        <v>19.445660102115244</v>
      </c>
      <c r="I40" s="192">
        <f>'[1]Cl Enr. sc'!AI40/'[1]Cl Enr'!AL41*100</f>
        <v>19.125063750212501</v>
      </c>
      <c r="J40" s="192">
        <f>('[1]Cl Enr. sc'!U40+'[1]Cl Enr. sc'!AG40)/('[1]Cl Enr'!X41+'[1]Cl Enr'!AJ41)*100</f>
        <v>18.702138825520247</v>
      </c>
      <c r="K40" s="192">
        <f>('[1]Cl Enr. sc'!V40+'[1]Cl Enr. sc'!AH40)/('[1]Cl Enr'!Y41+'[1]Cl Enr'!AK41)*100</f>
        <v>19.228430511451929</v>
      </c>
      <c r="L40" s="192">
        <f>('[1]Cl Enr. sc'!W40+'[1]Cl Enr. sc'!AI40)/('[1]Cl Enr'!Z41+'[1]Cl Enr'!AL41)*100</f>
        <v>18.958693563880885</v>
      </c>
      <c r="M40" s="192">
        <f>'[1]Cl Enr. sc'!AS40/'[1]Cl Enr'!AV41*100</f>
        <v>17.445422278407158</v>
      </c>
      <c r="N40" s="192">
        <f>'[1]Cl Enr. sc'!AT40/'[1]Cl Enr'!AW41*100</f>
        <v>18.865904112922852</v>
      </c>
      <c r="O40" s="192">
        <f>'[1]Cl Enr. sc'!AU40/'[1]Cl Enr'!AX41*100</f>
        <v>18.155283129013426</v>
      </c>
      <c r="P40" s="192">
        <f>'[1]Cl Enr. sc'!AV40/'[1]Cl Enr'!AY41*100</f>
        <v>18.47528437017273</v>
      </c>
      <c r="Q40" s="192">
        <f>'[1]Cl Enr. sc'!AW40/'[1]Cl Enr'!AZ41*100</f>
        <v>19.160318607054347</v>
      </c>
      <c r="R40" s="192">
        <f>'[1]Cl Enr. sc'!AX40/'[1]Cl Enr'!BA41*100</f>
        <v>18.810768204149817</v>
      </c>
      <c r="S40" s="192">
        <f>'[1]Cl Enr. sc'!BE40/'[1]Cl Enr'!BH41*100</f>
        <v>15.88089330024814</v>
      </c>
      <c r="T40" s="192">
        <f>'[1]Cl Enr. sc'!BF40/'[1]Cl Enr'!BI41*100</f>
        <v>16.026800670016751</v>
      </c>
      <c r="U40" s="192">
        <f>'[1]Cl Enr. sc'!BG40/'[1]Cl Enr'!BJ41*100</f>
        <v>15.95916753531505</v>
      </c>
      <c r="V40" s="192">
        <f>'[1]Cl Enr. sc'!BH40/'[1]Cl Enr'!BK41*100</f>
        <v>18.211492367856692</v>
      </c>
      <c r="W40" s="192">
        <f>'[1]Cl Enr. sc'!BI40/'[1]Cl Enr'!BL41*100</f>
        <v>18.783996910103319</v>
      </c>
      <c r="X40" s="192">
        <f>'[1]Cl Enr. sc'!BJ40/'[1]Cl Enr'!BM41*100</f>
        <v>18.494830909409497</v>
      </c>
      <c r="Y40" s="193" t="s">
        <v>168</v>
      </c>
      <c r="Z40" s="193" t="s">
        <v>168</v>
      </c>
      <c r="AA40" s="193" t="s">
        <v>168</v>
      </c>
      <c r="AB40" s="193" t="s">
        <v>168</v>
      </c>
      <c r="AC40" s="193" t="s">
        <v>168</v>
      </c>
      <c r="AD40" s="193" t="s">
        <v>168</v>
      </c>
      <c r="AE40" s="193" t="s">
        <v>168</v>
      </c>
      <c r="AF40" s="193" t="s">
        <v>168</v>
      </c>
      <c r="AG40" s="193" t="s">
        <v>168</v>
      </c>
      <c r="AH40" s="193" t="s">
        <v>168</v>
      </c>
      <c r="AI40" s="193" t="s">
        <v>168</v>
      </c>
      <c r="AJ40" s="193" t="s">
        <v>168</v>
      </c>
      <c r="AK40" s="193" t="s">
        <v>168</v>
      </c>
      <c r="AL40" s="193" t="s">
        <v>168</v>
      </c>
      <c r="AM40" s="193" t="s">
        <v>168</v>
      </c>
      <c r="AN40" s="193" t="s">
        <v>168</v>
      </c>
      <c r="AO40" s="193" t="s">
        <v>168</v>
      </c>
      <c r="AP40" s="193" t="s">
        <v>168</v>
      </c>
      <c r="AQ40" s="193" t="s">
        <v>168</v>
      </c>
      <c r="AR40" s="193" t="s">
        <v>168</v>
      </c>
      <c r="AS40" s="193" t="s">
        <v>168</v>
      </c>
      <c r="AT40" s="192">
        <f>'Rural enrl'!V40/'[1]Cl Enr'!X41*100</f>
        <v>45.62359786876052</v>
      </c>
      <c r="AU40" s="192">
        <f>'Rural enrl'!W40/'[1]Cl Enr'!Y41*100</f>
        <v>43.092919623700283</v>
      </c>
      <c r="AV40" s="192">
        <f>'Rural enrl'!X40/'[1]Cl Enr'!Z41*100</f>
        <v>44.386890946077948</v>
      </c>
      <c r="AW40" s="192">
        <f>'Rural enrl'!AH40/'[1]Cl Enr'!AJ41*100</f>
        <v>45.399719108859088</v>
      </c>
      <c r="AX40" s="192">
        <f>'Rural enrl'!AI40/'[1]Cl Enr'!AK41*100</f>
        <v>43.264770240700216</v>
      </c>
      <c r="AY40" s="192">
        <f>'Rural enrl'!AJ40/'[1]Cl Enr'!AL41*100</f>
        <v>44.363064543548482</v>
      </c>
      <c r="AZ40" s="192">
        <f>('Rural enrl'!V40+'Rural enrl'!AH40)/('[1]Cl Enr'!X41+'[1]Cl Enr'!AJ41)*100</f>
        <v>45.536527112853307</v>
      </c>
      <c r="BA40" s="192">
        <f>('Rural enrl'!W40+'Rural enrl'!AI40)/('[1]Cl Enr'!Y41+'[1]Cl Enr'!AK41)*100</f>
        <v>43.159245996892103</v>
      </c>
      <c r="BB40" s="192">
        <f>('Rural enrl'!X40+'Rural enrl'!AJ40)/('[1]Cl Enr'!Z41+'[1]Cl Enr'!AL41)*100</f>
        <v>44.37765884451764</v>
      </c>
      <c r="BC40" s="191">
        <f>'Rural enrl'!AT40/'[1]Cl Enr'!AV41*100</f>
        <v>51.115865220985071</v>
      </c>
      <c r="BD40" s="191">
        <f>'Rural enrl'!AU40/'[1]Cl Enr'!AW41*100</f>
        <v>45.524458505719153</v>
      </c>
      <c r="BE40" s="191">
        <f>'Rural enrl'!AV40/'[1]Cl Enr'!AX41*100</f>
        <v>48.32165791009924</v>
      </c>
      <c r="BF40" s="191">
        <f>'Rural enrl'!AW40/'[1]Cl Enr'!AY41*100</f>
        <v>46.543673641342508</v>
      </c>
      <c r="BG40" s="191">
        <f>'Rural enrl'!AX40/'[1]Cl Enr'!AZ41*100</f>
        <v>43.603625024005268</v>
      </c>
      <c r="BH40" s="191">
        <f>'Rural enrl'!AY40/'[1]Cl Enr'!BA41*100</f>
        <v>45.103834974718637</v>
      </c>
      <c r="BI40" s="191">
        <f>'Rural enrl'!BF40/'[1]Cl Enr'!BH41*100</f>
        <v>37.562034739454091</v>
      </c>
      <c r="BJ40" s="191">
        <f>'Rural enrl'!BG40/'[1]Cl Enr'!BI41*100</f>
        <v>37.802345058626464</v>
      </c>
      <c r="BK40" s="191">
        <f>'Rural enrl'!BH40/'[1]Cl Enr'!BJ41*100</f>
        <v>37.690952877322886</v>
      </c>
      <c r="BL40" s="191">
        <f>'Rural enrl'!BI40/'[1]Cl Enr'!BK41*100</f>
        <v>45.630440267440392</v>
      </c>
      <c r="BM40" s="191">
        <f>'Rural enrl'!BJ40/'[1]Cl Enr'!BL41*100</f>
        <v>42.906916862467412</v>
      </c>
      <c r="BN40" s="191">
        <f>'Rural enrl'!BK40/'[1]Cl Enr'!BM41*100</f>
        <v>44.282539783678736</v>
      </c>
    </row>
    <row r="41" spans="2:66" ht="21.95" customHeight="1">
      <c r="B41" s="167"/>
      <c r="C41" s="167" t="s">
        <v>46</v>
      </c>
      <c r="D41" s="190">
        <f>'[1]Cl Enr. sc'!U41/'[1]Cl Enr'!X42*100</f>
        <v>19.361698997957642</v>
      </c>
      <c r="E41" s="190">
        <f>'[1]Cl Enr. sc'!V41/'[1]Cl Enr'!Y42*100</f>
        <v>19.577916299484226</v>
      </c>
      <c r="F41" s="190">
        <f>'[1]Cl Enr. sc'!W41/'[1]Cl Enr'!Z42*100</f>
        <v>19.465026663948489</v>
      </c>
      <c r="G41" s="190">
        <f>'[1]Cl Enr. sc'!AG41/'[1]Cl Enr'!AJ42*100</f>
        <v>18.059898863382561</v>
      </c>
      <c r="H41" s="190">
        <f>'[1]Cl Enr. sc'!AH41/'[1]Cl Enr'!AK42*100</f>
        <v>18.398532276353606</v>
      </c>
      <c r="I41" s="190">
        <f>'[1]Cl Enr. sc'!AI41/'[1]Cl Enr'!AL42*100</f>
        <v>18.217403706072144</v>
      </c>
      <c r="J41" s="190">
        <f>('[1]Cl Enr. sc'!U41+'[1]Cl Enr. sc'!AG41)/('[1]Cl Enr'!X42+'[1]Cl Enr'!AJ42)*100</f>
        <v>18.955958310738627</v>
      </c>
      <c r="K41" s="190">
        <f>('[1]Cl Enr. sc'!V41+'[1]Cl Enr. sc'!AH41)/('[1]Cl Enr'!Y42+'[1]Cl Enr'!AK42)*100</f>
        <v>19.223169163145307</v>
      </c>
      <c r="L41" s="190">
        <f>('[1]Cl Enr. sc'!W41+'[1]Cl Enr. sc'!AI41)/('[1]Cl Enr'!Z42+'[1]Cl Enr'!AL42)*100</f>
        <v>19.0826093432051</v>
      </c>
      <c r="M41" s="190">
        <f>'[1]Cl Enr. sc'!AS41/'[1]Cl Enr'!AV42*100</f>
        <v>17.994686684923803</v>
      </c>
      <c r="N41" s="190">
        <f>'[1]Cl Enr. sc'!AT41/'[1]Cl Enr'!AW42*100</f>
        <v>17.478784807369912</v>
      </c>
      <c r="O41" s="190">
        <f>'[1]Cl Enr. sc'!AU41/'[1]Cl Enr'!AX42*100</f>
        <v>17.763661666427112</v>
      </c>
      <c r="P41" s="190">
        <f>'[1]Cl Enr. sc'!AV41/'[1]Cl Enr'!AY42*100</f>
        <v>18.819496363868442</v>
      </c>
      <c r="Q41" s="190">
        <f>'[1]Cl Enr. sc'!AW41/'[1]Cl Enr'!AZ42*100</f>
        <v>18.997085172778643</v>
      </c>
      <c r="R41" s="190">
        <f>'[1]Cl Enr. sc'!AX41/'[1]Cl Enr'!BA42*100</f>
        <v>18.903036209346588</v>
      </c>
      <c r="S41" s="190">
        <f>'[1]Cl Enr. sc'!BE41/'[1]Cl Enr'!BH42*100</f>
        <v>15.837349758912806</v>
      </c>
      <c r="T41" s="190">
        <f>'[1]Cl Enr. sc'!BF41/'[1]Cl Enr'!BI42*100</f>
        <v>15.336145232444967</v>
      </c>
      <c r="U41" s="190">
        <f>'[1]Cl Enr. sc'!BG41/'[1]Cl Enr'!BJ42*100</f>
        <v>15.615129139013636</v>
      </c>
      <c r="V41" s="190">
        <f>'[1]Cl Enr. sc'!BH41/'[1]Cl Enr'!BK42*100</f>
        <v>18.591844424622579</v>
      </c>
      <c r="W41" s="190">
        <f>'[1]Cl Enr. sc'!BI41/'[1]Cl Enr'!BL42*100</f>
        <v>18.744482722354146</v>
      </c>
      <c r="X41" s="190">
        <f>'[1]Cl Enr. sc'!BJ41/'[1]Cl Enr'!BM42*100</f>
        <v>18.663346390464415</v>
      </c>
      <c r="Y41" s="190">
        <f>'[1]Cl Enr. st'!U41/'[1]Cl Enr'!X42*100</f>
        <v>11.073468700149716</v>
      </c>
      <c r="Z41" s="190">
        <f>'[1]Cl Enr. st'!V41/'[1]Cl Enr'!Y42*100</f>
        <v>11.308910449531401</v>
      </c>
      <c r="AA41" s="190">
        <f>'[1]Cl Enr. st'!W41/'[1]Cl Enr'!Z42*100</f>
        <v>11.185983500161782</v>
      </c>
      <c r="AB41" s="190">
        <f>'[1]Cl Enr. st'!AG41/'[1]Cl Enr'!AJ42*100</f>
        <v>8.4531172050787031</v>
      </c>
      <c r="AC41" s="190">
        <f>'[1]Cl Enr. st'!AH41/'[1]Cl Enr'!AK42*100</f>
        <v>8.3783991284126316</v>
      </c>
      <c r="AD41" s="190">
        <f>'[1]Cl Enr. st'!AI41/'[1]Cl Enr'!AL42*100</f>
        <v>8.4183644061504879</v>
      </c>
      <c r="AE41" s="190">
        <f>('[1]Cl Enr. st'!U41+'[1]Cl Enr. st'!AG41)/('[1]Cl Enr'!X42+'[1]Cl Enr'!AJ42)*100</f>
        <v>10.256766359960977</v>
      </c>
      <c r="AF41" s="190">
        <f>('[1]Cl Enr. st'!V41+'[1]Cl Enr. st'!AH41)/('[1]Cl Enr'!Y42+'[1]Cl Enr'!AK42)*100</f>
        <v>10.427441412486015</v>
      </c>
      <c r="AG41" s="190">
        <f>('[1]Cl Enr. st'!W41+'[1]Cl Enr. st'!AI41)/('[1]Cl Enr'!Z42+'[1]Cl Enr'!AL42)*100</f>
        <v>10.337661920241839</v>
      </c>
      <c r="AH41" s="190">
        <f>'[1]Cl Enr. st'!AS41/'[1]Cl Enr'!AV42*100</f>
        <v>6.8334165579479178</v>
      </c>
      <c r="AI41" s="190">
        <f>'[1]Cl Enr. st'!AT41/'[1]Cl Enr'!AW42*100</f>
        <v>6.3882366567263347</v>
      </c>
      <c r="AJ41" s="190">
        <f>'[1]Cl Enr. st'!AU41/'[1]Cl Enr'!AX42*100</f>
        <v>6.6340614104114977</v>
      </c>
      <c r="AK41" s="190">
        <f>'[1]Cl Enr. st'!AV41/'[1]Cl Enr'!AY42*100</f>
        <v>9.7707882386319689</v>
      </c>
      <c r="AL41" s="190">
        <f>'[1]Cl Enr. st'!AW41/'[1]Cl Enr'!AZ42*100</f>
        <v>9.9039332039500412</v>
      </c>
      <c r="AM41" s="190">
        <f>'[1]Cl Enr. st'!AX41/'[1]Cl Enr'!BA42*100</f>
        <v>9.8334211820990856</v>
      </c>
      <c r="AN41" s="190">
        <f>'[1]Cl Enr. st'!BE41/'[1]Cl Enr'!BH42*100</f>
        <v>6.0702634727738705</v>
      </c>
      <c r="AO41" s="190">
        <f>'[1]Cl Enr. st'!BF41/'[1]Cl Enr'!BI42*100</f>
        <v>5.2438625630705449</v>
      </c>
      <c r="AP41" s="190">
        <f>'[1]Cl Enr. st'!BG41/'[1]Cl Enr'!BJ42*100</f>
        <v>5.7038595144263535</v>
      </c>
      <c r="AQ41" s="190">
        <f>'[1]Cl Enr. st'!BH41/'[1]Cl Enr'!BK42*100</f>
        <v>9.4882965469844116</v>
      </c>
      <c r="AR41" s="190">
        <f>'[1]Cl Enr. st'!BI41/'[1]Cl Enr'!BL42*100</f>
        <v>9.5823913916770618</v>
      </c>
      <c r="AS41" s="190">
        <f>'[1]Cl Enr. st'!BJ41/'[1]Cl Enr'!BM42*100</f>
        <v>9.5323743863674153</v>
      </c>
      <c r="AT41" s="190">
        <f>'Rural enrl'!V41/'[1]Cl Enr'!X42*100</f>
        <v>9.9646266861660386</v>
      </c>
      <c r="AU41" s="190">
        <f>'Rural enrl'!W41/'[1]Cl Enr'!Y42*100</f>
        <v>10.152758827505245</v>
      </c>
      <c r="AV41" s="190">
        <f>'Rural enrl'!X41/'[1]Cl Enr'!Z42*100</f>
        <v>10.054532789540707</v>
      </c>
      <c r="AW41" s="190">
        <f>'Rural enrl'!AH41/'[1]Cl Enr'!AJ42*100</f>
        <v>11.033418276228817</v>
      </c>
      <c r="AX41" s="190">
        <f>'Rural enrl'!AI41/'[1]Cl Enr'!AK42*100</f>
        <v>11.747013492731744</v>
      </c>
      <c r="AY41" s="190">
        <f>'Rural enrl'!AJ41/'[1]Cl Enr'!AL42*100</f>
        <v>11.365324987185724</v>
      </c>
      <c r="AZ41" s="190">
        <f>('Rural enrl'!V41+'Rural enrl'!AH41)/('[1]Cl Enr'!X42+'[1]Cl Enr'!AJ42)*100</f>
        <v>10.297744053977281</v>
      </c>
      <c r="BA41" s="190">
        <f>('Rural enrl'!W41+'Rural enrl'!AI41)/('[1]Cl Enr'!Y42+'[1]Cl Enr'!AK42)*100</f>
        <v>10.632294980269819</v>
      </c>
      <c r="BB41" s="190">
        <f>('Rural enrl'!X41+'Rural enrl'!AJ41)/('[1]Cl Enr'!Z42+'[1]Cl Enr'!AL42)*100</f>
        <v>10.456312539672904</v>
      </c>
      <c r="BC41" s="189">
        <f>'Rural enrl'!AT41/'[1]Cl Enr'!AV42*100</f>
        <v>11.721815575398335</v>
      </c>
      <c r="BD41" s="189">
        <f>'Rural enrl'!AU41/'[1]Cl Enr'!AW42*100</f>
        <v>13.033251640205865</v>
      </c>
      <c r="BE41" s="189">
        <f>'Rural enrl'!AV41/'[1]Cl Enr'!AX42*100</f>
        <v>12.309087214272608</v>
      </c>
      <c r="BF41" s="189">
        <f>'Rural enrl'!AW41/'[1]Cl Enr'!AY42*100</f>
        <v>10.499904990674837</v>
      </c>
      <c r="BG41" s="189">
        <f>'Rural enrl'!AX41/'[1]Cl Enr'!AZ42*100</f>
        <v>10.943475174347213</v>
      </c>
      <c r="BH41" s="189">
        <f>'Rural enrl'!AY41/'[1]Cl Enr'!BA42*100</f>
        <v>10.708565574807936</v>
      </c>
      <c r="BI41" s="189">
        <f>'Rural enrl'!BF41/'[1]Cl Enr'!BH42*100</f>
        <v>9.305335432955598</v>
      </c>
      <c r="BJ41" s="189">
        <f>'Rural enrl'!BG41/'[1]Cl Enr'!BI42*100</f>
        <v>9.6480352824929927</v>
      </c>
      <c r="BK41" s="189">
        <f>'Rural enrl'!BH41/'[1]Cl Enr'!BJ42*100</f>
        <v>9.4572793380520697</v>
      </c>
      <c r="BL41" s="189">
        <f>'Rural enrl'!BI41/'[1]Cl Enr'!BK42*100</f>
        <v>12.141026303459569</v>
      </c>
      <c r="BM41" s="189">
        <f>'Rural enrl'!BJ41/'[1]Cl Enr'!BL42*100</f>
        <v>12.653477770664189</v>
      </c>
      <c r="BN41" s="189">
        <f>'Rural enrl'!BK41/'[1]Cl Enr'!BM42*100</f>
        <v>12.381079342888135</v>
      </c>
    </row>
    <row r="42" spans="2:66" ht="15">
      <c r="D42" s="163">
        <f>'[1]Cl Enr. sc'!U41/'[1]Cl Enr'!X42*100</f>
        <v>19.361698997957642</v>
      </c>
      <c r="E42" s="163">
        <f>'[1]Cl Enr. sc'!V41/'[1]Cl Enr'!Y42*100</f>
        <v>19.577916299484226</v>
      </c>
      <c r="F42" s="163">
        <f>'[1]Cl Enr. sc'!W41/'[1]Cl Enr'!Z42*100</f>
        <v>19.465026663948489</v>
      </c>
      <c r="G42" s="163">
        <f>'[1]Cl Enr. sc'!AG41/'[1]Cl Enr'!AJ42*100</f>
        <v>18.059898863382561</v>
      </c>
      <c r="H42" s="163">
        <f>'[1]Cl Enr. sc'!AH41/'[1]Cl Enr'!AK42*100</f>
        <v>18.398532276353606</v>
      </c>
      <c r="I42" s="163">
        <f>'[1]Cl Enr. sc'!AI41/'[1]Cl Enr'!AL42*100</f>
        <v>18.217403706072144</v>
      </c>
      <c r="J42" s="163">
        <f>'[1]Cl Enr. sc'!AJ41/'[1]Cl Enr'!AM42*100</f>
        <v>18.955958310738627</v>
      </c>
      <c r="K42" s="163">
        <f>'[1]Cl Enr. sc'!AK41/'[1]Cl Enr'!AN42*100</f>
        <v>19.223169163145307</v>
      </c>
      <c r="L42" s="163">
        <f>'[1]Cl Enr. sc'!AL41/'[1]Cl Enr'!AO42*100</f>
        <v>19.0826093432051</v>
      </c>
      <c r="M42" s="163">
        <f>'[1]Cl Enr. sc'!AS41/'[1]Cl Enr'!AV42*100</f>
        <v>17.994686684923803</v>
      </c>
      <c r="N42" s="163">
        <f>'[1]Cl Enr. sc'!AT41/'[1]Cl Enr'!AW42*100</f>
        <v>17.478784807369912</v>
      </c>
      <c r="O42" s="163">
        <f>'[1]Cl Enr. sc'!AU41/'[1]Cl Enr'!AX42*100</f>
        <v>17.763661666427112</v>
      </c>
      <c r="P42" s="163">
        <f>'[1]Cl Enr. sc'!AV41/'[1]Cl Enr'!AY42*100</f>
        <v>18.819496363868442</v>
      </c>
      <c r="Q42" s="163">
        <f>'[1]Cl Enr. sc'!AW41/'[1]Cl Enr'!AZ42*100</f>
        <v>18.997085172778643</v>
      </c>
      <c r="R42" s="163">
        <f>'[1]Cl Enr. sc'!AX41/'[1]Cl Enr'!BA42*100</f>
        <v>18.903036209346588</v>
      </c>
      <c r="S42" s="163">
        <f>'[1]Cl Enr. sc'!BE41/'[1]Cl Enr'!BH42*100</f>
        <v>15.837349758912806</v>
      </c>
      <c r="T42" s="163">
        <f>'[1]Cl Enr. sc'!BF41/'[1]Cl Enr'!BI42*100</f>
        <v>15.336145232444967</v>
      </c>
      <c r="U42" s="163">
        <f>'[1]Cl Enr. sc'!BG41/'[1]Cl Enr'!BJ42*100</f>
        <v>15.615129139013636</v>
      </c>
      <c r="V42" s="163">
        <f>'[1]Cl Enr. sc'!BH41/'[1]Cl Enr'!BK42*100</f>
        <v>18.591844424622579</v>
      </c>
      <c r="W42" s="163">
        <f>'[1]Cl Enr. sc'!BI41/'[1]Cl Enr'!BL42*100</f>
        <v>18.744482722354146</v>
      </c>
      <c r="X42" s="163">
        <f>'[1]Cl Enr. sc'!BJ41/'[1]Cl Enr'!BM42*100</f>
        <v>18.663346390464415</v>
      </c>
      <c r="Y42" s="163">
        <f>'[1]Cl Enr. st'!U41/'[1]Cl Enr'!X42*100</f>
        <v>11.073468700149716</v>
      </c>
      <c r="Z42" s="163">
        <f>'[1]Cl Enr. st'!V41/'[1]Cl Enr'!Y42*100</f>
        <v>11.308910449531401</v>
      </c>
      <c r="AA42" s="163">
        <f>'[1]Cl Enr. st'!W41/'[1]Cl Enr'!Z42*100</f>
        <v>11.185983500161782</v>
      </c>
      <c r="AB42" s="163">
        <f>'[1]Cl Enr. st'!AG41/'[1]Cl Enr'!AJ42*100</f>
        <v>8.4531172050787031</v>
      </c>
      <c r="AC42" s="163">
        <f>'[1]Cl Enr. st'!AH41/'[1]Cl Enr'!AK42*100</f>
        <v>8.3783991284126316</v>
      </c>
      <c r="AD42" s="163">
        <f>'[1]Cl Enr. st'!AI41/'[1]Cl Enr'!AL42*100</f>
        <v>8.4183644061504879</v>
      </c>
      <c r="AE42" s="163">
        <f>'[1]Cl Enr. st'!AJ41/'[1]Cl Enr'!AM42*100</f>
        <v>10.256766359960977</v>
      </c>
      <c r="AF42" s="163">
        <f>'[1]Cl Enr. st'!AK41/'[1]Cl Enr'!AN42*100</f>
        <v>10.427441412486015</v>
      </c>
      <c r="AG42" s="163">
        <f>'[1]Cl Enr. st'!AL41/'[1]Cl Enr'!AO42*100</f>
        <v>10.337661920241839</v>
      </c>
      <c r="AH42" s="163">
        <f>'[1]Cl Enr. st'!AS41/'[1]Cl Enr'!AV42*100</f>
        <v>6.8334165579479178</v>
      </c>
      <c r="AI42" s="163">
        <f>'[1]Cl Enr. st'!AT41/'[1]Cl Enr'!AW42*100</f>
        <v>6.3882366567263347</v>
      </c>
      <c r="AJ42" s="163">
        <f>'[1]Cl Enr. st'!AU41/'[1]Cl Enr'!AX42*100</f>
        <v>6.6340614104114977</v>
      </c>
      <c r="AK42" s="163">
        <f>'[1]Cl Enr. st'!AV41/'[1]Cl Enr'!AY42*100</f>
        <v>9.7707882386319689</v>
      </c>
      <c r="AL42" s="163">
        <f>'[1]Cl Enr. st'!AW41/'[1]Cl Enr'!AZ42*100</f>
        <v>9.9039332039500412</v>
      </c>
      <c r="AM42" s="163">
        <f>'[1]Cl Enr. st'!AX41/'[1]Cl Enr'!BA42*100</f>
        <v>9.8334211820990856</v>
      </c>
      <c r="AN42" s="163">
        <f>'[1]Cl Enr. st'!BE41/'[1]Cl Enr'!BH42*100</f>
        <v>6.0702634727738705</v>
      </c>
      <c r="AO42" s="163">
        <f>'[1]Cl Enr. st'!BF41/'[1]Cl Enr'!BI42*100</f>
        <v>5.2438625630705449</v>
      </c>
      <c r="AP42" s="163">
        <f>'[1]Cl Enr. st'!BG41/'[1]Cl Enr'!BJ42*100</f>
        <v>5.7038595144263535</v>
      </c>
      <c r="AQ42" s="163">
        <f>'[1]Cl Enr. st'!BH41/'[1]Cl Enr'!BK42*100</f>
        <v>9.4882965469844116</v>
      </c>
      <c r="AR42" s="163">
        <f>'[1]Cl Enr. st'!BI41/'[1]Cl Enr'!BL42*100</f>
        <v>9.5823913916770618</v>
      </c>
      <c r="AS42" s="163">
        <f>'[1]Cl Enr. st'!BJ41/'[1]Cl Enr'!BM42*100</f>
        <v>9.5323743863674153</v>
      </c>
      <c r="AT42" s="163">
        <f>'Rural enrl'!V41/'[1]Cl Enr'!X42*100</f>
        <v>9.9646266861660386</v>
      </c>
      <c r="AU42" s="163">
        <f>'Rural enrl'!W41/'[1]Cl Enr'!Y42*100</f>
        <v>10.152758827505245</v>
      </c>
      <c r="AV42" s="163">
        <f>'Rural enrl'!X41/'[1]Cl Enr'!Z42*100</f>
        <v>10.054532789540707</v>
      </c>
      <c r="AW42" s="163">
        <f>'Rural enrl'!AH41/'[1]Cl Enr'!AJ42*100</f>
        <v>11.033418276228817</v>
      </c>
      <c r="AX42" s="163">
        <f>'Rural enrl'!AI41/'[1]Cl Enr'!AK42*100</f>
        <v>11.747013492731744</v>
      </c>
      <c r="AY42" s="163">
        <f>'Rural enrl'!AJ41/'[1]Cl Enr'!AL42*100</f>
        <v>11.365324987185724</v>
      </c>
      <c r="AZ42" s="188">
        <f>'Rural enrl'!AK41/'[1]Cl Enr'!AM42*100</f>
        <v>10.297744053977281</v>
      </c>
      <c r="BA42" s="188">
        <f>'Rural enrl'!AL41/'[1]Cl Enr'!AN42*100</f>
        <v>10.632294980269819</v>
      </c>
      <c r="BB42" s="188">
        <f>'Rural enrl'!AM41/'[1]Cl Enr'!AO42*100</f>
        <v>10.456312539672904</v>
      </c>
      <c r="BC42" s="163">
        <f>'Rural enrl'!AT41/'[1]Cl Enr'!AV42*100</f>
        <v>11.721815575398335</v>
      </c>
      <c r="BD42" s="163">
        <f>'Rural enrl'!AU41/'[1]Cl Enr'!AW42*100</f>
        <v>13.033251640205865</v>
      </c>
      <c r="BE42" s="163">
        <f>'Rural enrl'!AV41/'[1]Cl Enr'!AX42*100</f>
        <v>12.309087214272608</v>
      </c>
      <c r="BF42" s="163">
        <f>'Rural enrl'!AW41/'[1]Cl Enr'!AY42*100</f>
        <v>10.499904990674837</v>
      </c>
      <c r="BG42" s="163">
        <f>'Rural enrl'!AX41/'[1]Cl Enr'!AZ42*100</f>
        <v>10.943475174347213</v>
      </c>
      <c r="BH42" s="163">
        <f>'Rural enrl'!AY41/'[1]Cl Enr'!BA42*100</f>
        <v>10.708565574807936</v>
      </c>
      <c r="BI42" s="163">
        <f>'Rural enrl'!BF41/'[1]Cl Enr'!BH42*100</f>
        <v>9.305335432955598</v>
      </c>
      <c r="BJ42" s="163">
        <f>'Rural enrl'!BG41/'[1]Cl Enr'!BI42*100</f>
        <v>9.6480352824929927</v>
      </c>
      <c r="BK42" s="163">
        <f>'Rural enrl'!BH41/'[1]Cl Enr'!BJ42*100</f>
        <v>9.4572793380520697</v>
      </c>
      <c r="BL42" s="163">
        <f>'Rural enrl'!BI41/'[1]Cl Enr'!BK42*100</f>
        <v>12.141026303459569</v>
      </c>
      <c r="BM42" s="163">
        <f>'Rural enrl'!BJ41/'[1]Cl Enr'!BL42*100</f>
        <v>12.653477770664189</v>
      </c>
      <c r="BN42" s="163">
        <f>'Rural enrl'!BK41/'[1]Cl Enr'!BM42*100</f>
        <v>12.381079342888135</v>
      </c>
    </row>
    <row r="44" spans="2:66">
      <c r="I44" s="149">
        <f>'[1]Cl Enr. sc'!AI41/'[1]Cl Enr'!AL42*100</f>
        <v>18.217403706072144</v>
      </c>
      <c r="L44" s="149">
        <f>'[1]Cl Enr. sc'!AL41/'[1]Cl Enr'!AO42*100</f>
        <v>19.0826093432051</v>
      </c>
      <c r="O44" s="149">
        <f>'[1]Cl Enr. sc'!AU41/'[1]Cl Enr'!AX42*100</f>
        <v>17.763661666427112</v>
      </c>
      <c r="R44" s="149">
        <f>'[1]Cl Enr. sc'!AX41/'[1]Cl Enr'!BA42*100</f>
        <v>18.903036209346588</v>
      </c>
      <c r="U44" s="149">
        <f>'[1]Cl Enr. sc'!BG41/'[1]Cl Enr'!BJ42*100</f>
        <v>15.615129139013636</v>
      </c>
      <c r="X44" s="149">
        <f>'[1]Cl Enr. sc'!BJ41/'[1]Cl Enr'!BM42*100</f>
        <v>18.663346390464415</v>
      </c>
    </row>
    <row r="61" s="150" customFormat="1"/>
  </sheetData>
  <mergeCells count="41">
    <mergeCell ref="B3:B4"/>
    <mergeCell ref="C3:C4"/>
    <mergeCell ref="D3:F3"/>
    <mergeCell ref="G3:I3"/>
    <mergeCell ref="M1:R1"/>
    <mergeCell ref="D2:L2"/>
    <mergeCell ref="J3:L3"/>
    <mergeCell ref="M3:O3"/>
    <mergeCell ref="P3:R3"/>
    <mergeCell ref="D1:L1"/>
    <mergeCell ref="M2:R2"/>
    <mergeCell ref="AH1:AM1"/>
    <mergeCell ref="V3:X3"/>
    <mergeCell ref="S1:X1"/>
    <mergeCell ref="Y2:AG2"/>
    <mergeCell ref="BI1:BN1"/>
    <mergeCell ref="S2:X2"/>
    <mergeCell ref="AH3:AJ3"/>
    <mergeCell ref="Y3:AA3"/>
    <mergeCell ref="AB3:AD3"/>
    <mergeCell ref="Y1:AG1"/>
    <mergeCell ref="BC2:BH2"/>
    <mergeCell ref="AT1:BA1"/>
    <mergeCell ref="AH2:AM2"/>
    <mergeCell ref="BC1:BH1"/>
    <mergeCell ref="AN1:AS1"/>
    <mergeCell ref="AW3:AY3"/>
    <mergeCell ref="S3:U3"/>
    <mergeCell ref="AN3:AP3"/>
    <mergeCell ref="AQ3:AS3"/>
    <mergeCell ref="BI2:BN2"/>
    <mergeCell ref="AE3:AG3"/>
    <mergeCell ref="AN2:AS2"/>
    <mergeCell ref="AT2:BB2"/>
    <mergeCell ref="AZ3:BB3"/>
    <mergeCell ref="BC3:BE3"/>
    <mergeCell ref="AK3:AM3"/>
    <mergeCell ref="BF3:BH3"/>
    <mergeCell ref="BL3:BN3"/>
    <mergeCell ref="AT3:AV3"/>
    <mergeCell ref="BI3:BK3"/>
  </mergeCells>
  <pageMargins left="1.25" right="0" top="1" bottom="1" header="0.5" footer="0.5"/>
  <pageSetup scale="70" firstPageNumber="47" orientation="portrait" useFirstPageNumber="1" r:id="rId1"/>
  <headerFooter alignWithMargins="0">
    <oddFooter>&amp;LStatistics of School Education 2008-09&amp;RD&amp;P</oddFooter>
  </headerFooter>
  <rowBreaks count="1" manualBreakCount="1">
    <brk id="41" max="16383" man="1"/>
  </rowBreaks>
  <colBreaks count="8" manualBreakCount="8">
    <brk id="12" max="40" man="1"/>
    <brk id="18" max="40" man="1"/>
    <brk id="24" max="40" man="1"/>
    <brk id="33" max="40" man="1"/>
    <brk id="39" max="40" man="1"/>
    <brk id="45" max="40" man="1"/>
    <brk id="54" max="40" man="1"/>
    <brk id="60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2:CB53"/>
  <sheetViews>
    <sheetView view="pageBreakPreview" zoomScaleSheetLayoutView="100" workbookViewId="0">
      <pane xSplit="2" ySplit="6" topLeftCell="C7" activePane="bottomRight" state="frozen"/>
      <selection activeCell="B49" sqref="B49"/>
      <selection pane="topRight" activeCell="B49" sqref="B49"/>
      <selection pane="bottomLeft" activeCell="B49" sqref="B49"/>
      <selection pane="bottomRight" activeCell="A38" sqref="A38:XFD38"/>
    </sheetView>
  </sheetViews>
  <sheetFormatPr defaultRowHeight="12.75"/>
  <cols>
    <col min="1" max="1" width="6.85546875" style="198" customWidth="1"/>
    <col min="2" max="2" width="23.5703125" style="198" customWidth="1"/>
    <col min="3" max="62" width="9.85546875" style="198" customWidth="1"/>
    <col min="63" max="64" width="10" style="198" customWidth="1"/>
    <col min="65" max="65" width="9.5703125" style="198" customWidth="1"/>
    <col min="66" max="66" width="10.140625" style="198" customWidth="1"/>
    <col min="67" max="67" width="10.28515625" style="198" customWidth="1"/>
    <col min="68" max="68" width="10.140625" style="198" customWidth="1"/>
    <col min="69" max="69" width="10.5703125" style="198" customWidth="1"/>
    <col min="70" max="70" width="10.140625" style="198" customWidth="1"/>
    <col min="71" max="72" width="9.85546875" style="198" customWidth="1"/>
    <col min="73" max="73" width="9.7109375" style="198" customWidth="1"/>
    <col min="74" max="74" width="11" style="198" customWidth="1"/>
    <col min="75" max="75" width="19.7109375" style="198" customWidth="1"/>
    <col min="76" max="76" width="20.28515625" style="198" customWidth="1"/>
    <col min="77" max="77" width="22" style="198" customWidth="1"/>
    <col min="78" max="16384" width="9.140625" style="198"/>
  </cols>
  <sheetData>
    <row r="2" spans="1:80" ht="18.75" customHeight="1">
      <c r="A2" s="228"/>
      <c r="B2" s="228"/>
      <c r="C2" s="299" t="s">
        <v>196</v>
      </c>
      <c r="D2" s="299"/>
      <c r="E2" s="299"/>
      <c r="F2" s="299"/>
      <c r="G2" s="299"/>
      <c r="H2" s="299"/>
      <c r="I2" s="299" t="s">
        <v>196</v>
      </c>
      <c r="J2" s="299"/>
      <c r="K2" s="299"/>
      <c r="L2" s="299"/>
      <c r="M2" s="299"/>
      <c r="N2" s="299"/>
      <c r="O2" s="299" t="s">
        <v>196</v>
      </c>
      <c r="P2" s="299"/>
      <c r="Q2" s="299"/>
      <c r="R2" s="299"/>
      <c r="S2" s="299"/>
      <c r="T2" s="299"/>
      <c r="U2" s="299" t="s">
        <v>196</v>
      </c>
      <c r="V2" s="299"/>
      <c r="W2" s="299"/>
      <c r="X2" s="299"/>
      <c r="Y2" s="299"/>
      <c r="Z2" s="299"/>
      <c r="AA2" s="299" t="s">
        <v>196</v>
      </c>
      <c r="AB2" s="299"/>
      <c r="AC2" s="299"/>
      <c r="AD2" s="299"/>
      <c r="AE2" s="299"/>
      <c r="AF2" s="299"/>
      <c r="AG2" s="299" t="s">
        <v>196</v>
      </c>
      <c r="AH2" s="299"/>
      <c r="AI2" s="299"/>
      <c r="AJ2" s="299"/>
      <c r="AK2" s="299"/>
      <c r="AL2" s="299"/>
      <c r="AM2" s="299" t="s">
        <v>196</v>
      </c>
      <c r="AN2" s="299"/>
      <c r="AO2" s="299"/>
      <c r="AP2" s="299"/>
      <c r="AQ2" s="299"/>
      <c r="AR2" s="299"/>
      <c r="AS2" s="299" t="s">
        <v>196</v>
      </c>
      <c r="AT2" s="299"/>
      <c r="AU2" s="299"/>
      <c r="AV2" s="299"/>
      <c r="AW2" s="299"/>
      <c r="AX2" s="299"/>
      <c r="AY2" s="299" t="s">
        <v>196</v>
      </c>
      <c r="AZ2" s="299"/>
      <c r="BA2" s="299"/>
      <c r="BB2" s="299"/>
      <c r="BC2" s="299"/>
      <c r="BD2" s="299"/>
      <c r="BE2" s="299" t="s">
        <v>196</v>
      </c>
      <c r="BF2" s="299"/>
      <c r="BG2" s="299"/>
      <c r="BH2" s="299"/>
      <c r="BI2" s="299"/>
      <c r="BJ2" s="299"/>
      <c r="BK2" s="302" t="s">
        <v>195</v>
      </c>
      <c r="BL2" s="302"/>
      <c r="BM2" s="302"/>
      <c r="BN2" s="302"/>
      <c r="BO2" s="302"/>
      <c r="BP2" s="302"/>
      <c r="BQ2" s="302" t="s">
        <v>195</v>
      </c>
      <c r="BR2" s="302"/>
      <c r="BS2" s="302"/>
      <c r="BT2" s="302"/>
      <c r="BU2" s="302"/>
      <c r="BV2" s="302"/>
      <c r="BW2" s="302" t="s">
        <v>195</v>
      </c>
      <c r="BX2" s="302"/>
      <c r="BY2" s="302"/>
      <c r="BZ2" s="226"/>
      <c r="CA2" s="226"/>
      <c r="CB2" s="226"/>
    </row>
    <row r="3" spans="1:80" ht="22.5" customHeight="1">
      <c r="A3" s="227"/>
      <c r="B3" s="227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226"/>
      <c r="CA3" s="226"/>
      <c r="CB3" s="226"/>
    </row>
    <row r="4" spans="1:80" ht="21.75" customHeight="1">
      <c r="A4" s="225"/>
      <c r="B4" s="225"/>
      <c r="C4" s="300" t="s">
        <v>194</v>
      </c>
      <c r="D4" s="300"/>
      <c r="E4" s="300"/>
      <c r="F4" s="300"/>
      <c r="G4" s="300"/>
      <c r="H4" s="300"/>
      <c r="I4" s="300" t="s">
        <v>194</v>
      </c>
      <c r="J4" s="300"/>
      <c r="K4" s="300"/>
      <c r="L4" s="300"/>
      <c r="M4" s="300"/>
      <c r="N4" s="300"/>
      <c r="O4" s="301" t="s">
        <v>193</v>
      </c>
      <c r="P4" s="301"/>
      <c r="Q4" s="301"/>
      <c r="R4" s="301"/>
      <c r="S4" s="301"/>
      <c r="T4" s="301"/>
      <c r="U4" s="301" t="s">
        <v>193</v>
      </c>
      <c r="V4" s="301"/>
      <c r="W4" s="301"/>
      <c r="X4" s="301"/>
      <c r="Y4" s="301"/>
      <c r="Z4" s="301"/>
      <c r="AA4" s="297" t="s">
        <v>192</v>
      </c>
      <c r="AB4" s="297"/>
      <c r="AC4" s="297"/>
      <c r="AD4" s="297"/>
      <c r="AE4" s="297"/>
      <c r="AF4" s="297"/>
      <c r="AG4" s="297" t="s">
        <v>192</v>
      </c>
      <c r="AH4" s="297"/>
      <c r="AI4" s="297"/>
      <c r="AJ4" s="297"/>
      <c r="AK4" s="297"/>
      <c r="AL4" s="297"/>
      <c r="AM4" s="297" t="s">
        <v>191</v>
      </c>
      <c r="AN4" s="297"/>
      <c r="AO4" s="297"/>
      <c r="AP4" s="297"/>
      <c r="AQ4" s="297"/>
      <c r="AR4" s="297"/>
      <c r="AS4" s="297" t="s">
        <v>191</v>
      </c>
      <c r="AT4" s="297"/>
      <c r="AU4" s="297"/>
      <c r="AV4" s="297"/>
      <c r="AW4" s="297"/>
      <c r="AX4" s="297"/>
      <c r="AY4" s="297" t="s">
        <v>190</v>
      </c>
      <c r="AZ4" s="297"/>
      <c r="BA4" s="297"/>
      <c r="BB4" s="297"/>
      <c r="BC4" s="297"/>
      <c r="BD4" s="297"/>
      <c r="BE4" s="297" t="s">
        <v>190</v>
      </c>
      <c r="BF4" s="297"/>
      <c r="BG4" s="297"/>
      <c r="BH4" s="297"/>
      <c r="BI4" s="297"/>
      <c r="BJ4" s="297"/>
      <c r="BK4" s="298" t="s">
        <v>189</v>
      </c>
      <c r="BL4" s="298"/>
      <c r="BM4" s="298"/>
      <c r="BN4" s="298"/>
      <c r="BO4" s="298"/>
      <c r="BP4" s="298"/>
      <c r="BQ4" s="298" t="s">
        <v>189</v>
      </c>
      <c r="BR4" s="298"/>
      <c r="BS4" s="298"/>
      <c r="BT4" s="298"/>
      <c r="BU4" s="298"/>
      <c r="BV4" s="298"/>
      <c r="BW4" s="298" t="s">
        <v>189</v>
      </c>
      <c r="BX4" s="298"/>
      <c r="BY4" s="298"/>
      <c r="BZ4" s="224"/>
      <c r="CA4" s="224"/>
      <c r="CB4" s="224"/>
    </row>
    <row r="5" spans="1:80" ht="15" customHeight="1">
      <c r="A5" s="294" t="s">
        <v>188</v>
      </c>
      <c r="B5" s="295" t="s">
        <v>161</v>
      </c>
      <c r="C5" s="287" t="s">
        <v>187</v>
      </c>
      <c r="D5" s="287"/>
      <c r="E5" s="287"/>
      <c r="F5" s="287" t="s">
        <v>186</v>
      </c>
      <c r="G5" s="287"/>
      <c r="H5" s="287"/>
      <c r="I5" s="287" t="s">
        <v>185</v>
      </c>
      <c r="J5" s="287"/>
      <c r="K5" s="287"/>
      <c r="L5" s="287" t="s">
        <v>184</v>
      </c>
      <c r="M5" s="287"/>
      <c r="N5" s="287"/>
      <c r="O5" s="287" t="s">
        <v>187</v>
      </c>
      <c r="P5" s="287"/>
      <c r="Q5" s="287"/>
      <c r="R5" s="287" t="s">
        <v>186</v>
      </c>
      <c r="S5" s="287"/>
      <c r="T5" s="287"/>
      <c r="U5" s="287" t="s">
        <v>185</v>
      </c>
      <c r="V5" s="287"/>
      <c r="W5" s="287"/>
      <c r="X5" s="287" t="s">
        <v>184</v>
      </c>
      <c r="Y5" s="287"/>
      <c r="Z5" s="287"/>
      <c r="AA5" s="287" t="s">
        <v>187</v>
      </c>
      <c r="AB5" s="287"/>
      <c r="AC5" s="287"/>
      <c r="AD5" s="287" t="s">
        <v>186</v>
      </c>
      <c r="AE5" s="287"/>
      <c r="AF5" s="287"/>
      <c r="AG5" s="287" t="s">
        <v>185</v>
      </c>
      <c r="AH5" s="287"/>
      <c r="AI5" s="287"/>
      <c r="AJ5" s="287" t="s">
        <v>184</v>
      </c>
      <c r="AK5" s="287"/>
      <c r="AL5" s="287"/>
      <c r="AM5" s="287" t="s">
        <v>187</v>
      </c>
      <c r="AN5" s="287"/>
      <c r="AO5" s="287"/>
      <c r="AP5" s="287" t="s">
        <v>186</v>
      </c>
      <c r="AQ5" s="287"/>
      <c r="AR5" s="287"/>
      <c r="AS5" s="287" t="s">
        <v>185</v>
      </c>
      <c r="AT5" s="287"/>
      <c r="AU5" s="287"/>
      <c r="AV5" s="287" t="s">
        <v>184</v>
      </c>
      <c r="AW5" s="287"/>
      <c r="AX5" s="287"/>
      <c r="AY5" s="287" t="s">
        <v>187</v>
      </c>
      <c r="AZ5" s="287"/>
      <c r="BA5" s="287"/>
      <c r="BB5" s="287" t="s">
        <v>186</v>
      </c>
      <c r="BC5" s="287"/>
      <c r="BD5" s="287"/>
      <c r="BE5" s="287" t="s">
        <v>185</v>
      </c>
      <c r="BF5" s="287"/>
      <c r="BG5" s="287"/>
      <c r="BH5" s="287" t="s">
        <v>184</v>
      </c>
      <c r="BI5" s="287"/>
      <c r="BJ5" s="287"/>
      <c r="BK5" s="287" t="s">
        <v>187</v>
      </c>
      <c r="BL5" s="287"/>
      <c r="BM5" s="287"/>
      <c r="BN5" s="287" t="s">
        <v>186</v>
      </c>
      <c r="BO5" s="287"/>
      <c r="BP5" s="287"/>
      <c r="BQ5" s="287" t="s">
        <v>185</v>
      </c>
      <c r="BR5" s="287"/>
      <c r="BS5" s="287"/>
      <c r="BT5" s="287" t="s">
        <v>184</v>
      </c>
      <c r="BU5" s="287"/>
      <c r="BV5" s="287"/>
      <c r="BW5" s="296" t="s">
        <v>183</v>
      </c>
      <c r="BX5" s="297"/>
      <c r="BY5" s="297"/>
    </row>
    <row r="6" spans="1:80" ht="15">
      <c r="A6" s="294"/>
      <c r="B6" s="295"/>
      <c r="C6" s="182" t="s">
        <v>13</v>
      </c>
      <c r="D6" s="182" t="s">
        <v>14</v>
      </c>
      <c r="E6" s="182" t="s">
        <v>15</v>
      </c>
      <c r="F6" s="182" t="s">
        <v>13</v>
      </c>
      <c r="G6" s="182" t="s">
        <v>14</v>
      </c>
      <c r="H6" s="182" t="s">
        <v>15</v>
      </c>
      <c r="I6" s="182" t="s">
        <v>13</v>
      </c>
      <c r="J6" s="182" t="s">
        <v>14</v>
      </c>
      <c r="K6" s="182" t="s">
        <v>15</v>
      </c>
      <c r="L6" s="182" t="s">
        <v>13</v>
      </c>
      <c r="M6" s="182" t="s">
        <v>14</v>
      </c>
      <c r="N6" s="182" t="s">
        <v>15</v>
      </c>
      <c r="O6" s="182" t="s">
        <v>13</v>
      </c>
      <c r="P6" s="182" t="s">
        <v>14</v>
      </c>
      <c r="Q6" s="182" t="s">
        <v>15</v>
      </c>
      <c r="R6" s="182" t="s">
        <v>13</v>
      </c>
      <c r="S6" s="182" t="s">
        <v>14</v>
      </c>
      <c r="T6" s="182" t="s">
        <v>15</v>
      </c>
      <c r="U6" s="182" t="s">
        <v>13</v>
      </c>
      <c r="V6" s="182" t="s">
        <v>14</v>
      </c>
      <c r="W6" s="182" t="s">
        <v>15</v>
      </c>
      <c r="X6" s="182" t="s">
        <v>13</v>
      </c>
      <c r="Y6" s="182" t="s">
        <v>14</v>
      </c>
      <c r="Z6" s="182" t="s">
        <v>15</v>
      </c>
      <c r="AA6" s="182" t="s">
        <v>13</v>
      </c>
      <c r="AB6" s="182" t="s">
        <v>14</v>
      </c>
      <c r="AC6" s="182" t="s">
        <v>15</v>
      </c>
      <c r="AD6" s="182" t="s">
        <v>13</v>
      </c>
      <c r="AE6" s="182" t="s">
        <v>14</v>
      </c>
      <c r="AF6" s="182" t="s">
        <v>15</v>
      </c>
      <c r="AG6" s="182" t="s">
        <v>13</v>
      </c>
      <c r="AH6" s="182" t="s">
        <v>14</v>
      </c>
      <c r="AI6" s="182" t="s">
        <v>15</v>
      </c>
      <c r="AJ6" s="182" t="s">
        <v>13</v>
      </c>
      <c r="AK6" s="182" t="s">
        <v>14</v>
      </c>
      <c r="AL6" s="182" t="s">
        <v>15</v>
      </c>
      <c r="AM6" s="182" t="s">
        <v>13</v>
      </c>
      <c r="AN6" s="182" t="s">
        <v>14</v>
      </c>
      <c r="AO6" s="182" t="s">
        <v>15</v>
      </c>
      <c r="AP6" s="182" t="s">
        <v>13</v>
      </c>
      <c r="AQ6" s="182" t="s">
        <v>14</v>
      </c>
      <c r="AR6" s="182" t="s">
        <v>15</v>
      </c>
      <c r="AS6" s="182" t="s">
        <v>13</v>
      </c>
      <c r="AT6" s="182" t="s">
        <v>14</v>
      </c>
      <c r="AU6" s="182" t="s">
        <v>15</v>
      </c>
      <c r="AV6" s="182" t="s">
        <v>13</v>
      </c>
      <c r="AW6" s="182" t="s">
        <v>14</v>
      </c>
      <c r="AX6" s="182" t="s">
        <v>15</v>
      </c>
      <c r="AY6" s="182" t="s">
        <v>13</v>
      </c>
      <c r="AZ6" s="182" t="s">
        <v>14</v>
      </c>
      <c r="BA6" s="182" t="s">
        <v>15</v>
      </c>
      <c r="BB6" s="182" t="s">
        <v>13</v>
      </c>
      <c r="BC6" s="182" t="s">
        <v>14</v>
      </c>
      <c r="BD6" s="182" t="s">
        <v>15</v>
      </c>
      <c r="BE6" s="182" t="s">
        <v>13</v>
      </c>
      <c r="BF6" s="182" t="s">
        <v>14</v>
      </c>
      <c r="BG6" s="182" t="s">
        <v>15</v>
      </c>
      <c r="BH6" s="182" t="s">
        <v>13</v>
      </c>
      <c r="BI6" s="182" t="s">
        <v>14</v>
      </c>
      <c r="BJ6" s="182" t="s">
        <v>15</v>
      </c>
      <c r="BK6" s="182" t="s">
        <v>13</v>
      </c>
      <c r="BL6" s="182" t="s">
        <v>14</v>
      </c>
      <c r="BM6" s="182" t="s">
        <v>15</v>
      </c>
      <c r="BN6" s="182" t="s">
        <v>13</v>
      </c>
      <c r="BO6" s="182" t="s">
        <v>14</v>
      </c>
      <c r="BP6" s="182" t="s">
        <v>15</v>
      </c>
      <c r="BQ6" s="182" t="s">
        <v>13</v>
      </c>
      <c r="BR6" s="182" t="s">
        <v>14</v>
      </c>
      <c r="BS6" s="182" t="s">
        <v>15</v>
      </c>
      <c r="BT6" s="182" t="s">
        <v>13</v>
      </c>
      <c r="BU6" s="182" t="s">
        <v>14</v>
      </c>
      <c r="BV6" s="182" t="s">
        <v>15</v>
      </c>
      <c r="BW6" s="182" t="s">
        <v>13</v>
      </c>
      <c r="BX6" s="182" t="s">
        <v>14</v>
      </c>
      <c r="BY6" s="182" t="s">
        <v>15</v>
      </c>
    </row>
    <row r="7" spans="1:80" ht="15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208"/>
      <c r="BX7" s="208"/>
      <c r="BY7" s="208"/>
    </row>
    <row r="8" spans="1:80" ht="16.350000000000001" customHeight="1">
      <c r="A8" s="169">
        <v>1</v>
      </c>
      <c r="B8" s="229" t="s">
        <v>16</v>
      </c>
      <c r="C8" s="175"/>
      <c r="D8" s="175"/>
      <c r="E8" s="175">
        <f t="shared" ref="E8:E22" si="0">C8+D8</f>
        <v>0</v>
      </c>
      <c r="F8" s="175"/>
      <c r="G8" s="175"/>
      <c r="H8" s="211">
        <f t="shared" ref="H8:H22" si="1">F8+G8</f>
        <v>0</v>
      </c>
      <c r="I8" s="175"/>
      <c r="J8" s="175"/>
      <c r="K8" s="175">
        <f t="shared" ref="K8:K22" si="2">I8+J8</f>
        <v>0</v>
      </c>
      <c r="L8" s="223"/>
      <c r="M8" s="222"/>
      <c r="N8" s="222">
        <f t="shared" ref="N8:N22" si="3">L8+M8</f>
        <v>0</v>
      </c>
      <c r="O8" s="175"/>
      <c r="P8" s="175" t="s">
        <v>197</v>
      </c>
      <c r="Q8" s="175" t="e">
        <f t="shared" ref="Q8:Q22" si="4">O8+P8</f>
        <v>#VALUE!</v>
      </c>
      <c r="R8" s="175"/>
      <c r="S8" s="175"/>
      <c r="T8" s="211">
        <f t="shared" ref="T8:T22" si="5">R8+S8</f>
        <v>0</v>
      </c>
      <c r="U8" s="175"/>
      <c r="V8" s="175"/>
      <c r="W8" s="175">
        <f t="shared" ref="W8:W22" si="6">U8+V8</f>
        <v>0</v>
      </c>
      <c r="X8" s="222"/>
      <c r="Y8" s="222"/>
      <c r="Z8" s="222">
        <f t="shared" ref="Z8:Z22" si="7">X8+Y8</f>
        <v>0</v>
      </c>
      <c r="AA8" s="175"/>
      <c r="AB8" s="175"/>
      <c r="AC8" s="175">
        <f t="shared" ref="AC8:AC22" si="8">AA8+AB8</f>
        <v>0</v>
      </c>
      <c r="AD8" s="175"/>
      <c r="AE8" s="175"/>
      <c r="AF8" s="211">
        <f t="shared" ref="AF8:AF22" si="9">AD8+AE8</f>
        <v>0</v>
      </c>
      <c r="AG8" s="175"/>
      <c r="AH8" s="175"/>
      <c r="AI8" s="175">
        <f t="shared" ref="AI8:AI22" si="10">AG8+AH8</f>
        <v>0</v>
      </c>
      <c r="AJ8" s="222"/>
      <c r="AK8" s="222"/>
      <c r="AL8" s="222">
        <f t="shared" ref="AL8:AL22" si="11">AJ8+AK8</f>
        <v>0</v>
      </c>
      <c r="AM8" s="175"/>
      <c r="AN8" s="175"/>
      <c r="AO8" s="175">
        <f t="shared" ref="AO8:AO22" si="12">AM8+AN8</f>
        <v>0</v>
      </c>
      <c r="AP8" s="175"/>
      <c r="AQ8" s="175"/>
      <c r="AR8" s="211">
        <f t="shared" ref="AR8:AR22" si="13">AP8+AQ8</f>
        <v>0</v>
      </c>
      <c r="AS8" s="175"/>
      <c r="AT8" s="175"/>
      <c r="AU8" s="175">
        <f t="shared" ref="AU8:AU22" si="14">AS8+AT8</f>
        <v>0</v>
      </c>
      <c r="AV8" s="222"/>
      <c r="AW8" s="222"/>
      <c r="AX8" s="222">
        <f t="shared" ref="AX8:AX22" si="15">AV8+AW8</f>
        <v>0</v>
      </c>
      <c r="AY8" s="175"/>
      <c r="AZ8" s="175"/>
      <c r="BA8" s="175">
        <f t="shared" ref="BA8:BA22" si="16">AY8+AZ8</f>
        <v>0</v>
      </c>
      <c r="BB8" s="175"/>
      <c r="BC8" s="175"/>
      <c r="BD8" s="211">
        <f t="shared" ref="BD8:BD22" si="17">BB8+BC8</f>
        <v>0</v>
      </c>
      <c r="BE8" s="175"/>
      <c r="BF8" s="175"/>
      <c r="BG8" s="175">
        <f t="shared" ref="BG8:BG22" si="18">BE8+BF8</f>
        <v>0</v>
      </c>
      <c r="BH8" s="222"/>
      <c r="BI8" s="222"/>
      <c r="BJ8" s="222">
        <f t="shared" ref="BJ8:BJ22" si="19">BH8+BI8</f>
        <v>0</v>
      </c>
      <c r="BK8" s="168">
        <f t="shared" ref="BK8:BK37" si="20">C8+O8+AA8+AM8+AY8</f>
        <v>0</v>
      </c>
      <c r="BL8" s="168" t="e">
        <f t="shared" ref="BL8:BL37" si="21">D8+P8+AB8+AN8+AZ8</f>
        <v>#VALUE!</v>
      </c>
      <c r="BM8" s="168" t="e">
        <f t="shared" ref="BM8:BM37" si="22">BK8+BL8</f>
        <v>#VALUE!</v>
      </c>
      <c r="BN8" s="168">
        <f t="shared" ref="BN8:BN37" si="23">F8+R8+AD8+AP8+BB8</f>
        <v>0</v>
      </c>
      <c r="BO8" s="168">
        <f t="shared" ref="BO8:BO37" si="24">G8+S8+AE8+AQ8+BC8</f>
        <v>0</v>
      </c>
      <c r="BP8" s="209">
        <f t="shared" ref="BP8:BP37" si="25">BN8+BO8</f>
        <v>0</v>
      </c>
      <c r="BQ8" s="168">
        <f t="shared" ref="BQ8:BQ21" si="26">I8+U8+AG8+AS8+BE8</f>
        <v>0</v>
      </c>
      <c r="BR8" s="168">
        <f t="shared" ref="BR8:BR21" si="27">J8+V8+AH8+AT8+BF8</f>
        <v>0</v>
      </c>
      <c r="BS8" s="168">
        <f t="shared" ref="BS8:BS21" si="28">BQ8+BR8</f>
        <v>0</v>
      </c>
      <c r="BT8" s="168">
        <f t="shared" ref="BT8:BT21" si="29">L8+X8+AJ8+AV8+BH8</f>
        <v>0</v>
      </c>
      <c r="BU8" s="168">
        <f t="shared" ref="BU8:BU21" si="30">M8+Y8+AK8+AW8+BI8</f>
        <v>0</v>
      </c>
      <c r="BV8" s="168">
        <f t="shared" ref="BV8:BV22" si="31">BT8+BU8</f>
        <v>0</v>
      </c>
      <c r="BW8" s="208">
        <f t="shared" ref="BW8:BW43" si="32">BK8+BN8+BQ8+BT8</f>
        <v>0</v>
      </c>
      <c r="BX8" s="208" t="e">
        <f t="shared" ref="BX8:BX43" si="33">BL8+BO8+BR8+BU8</f>
        <v>#VALUE!</v>
      </c>
      <c r="BY8" s="208" t="e">
        <f t="shared" ref="BY8:BY43" si="34">BW8+BX8</f>
        <v>#VALUE!</v>
      </c>
    </row>
    <row r="9" spans="1:80" ht="16.350000000000001" customHeight="1">
      <c r="A9" s="169">
        <v>2</v>
      </c>
      <c r="B9" s="229" t="s">
        <v>17</v>
      </c>
      <c r="C9" s="175"/>
      <c r="D9" s="175"/>
      <c r="E9" s="175">
        <f t="shared" si="0"/>
        <v>0</v>
      </c>
      <c r="F9" s="175"/>
      <c r="G9" s="175"/>
      <c r="H9" s="211">
        <f t="shared" si="1"/>
        <v>0</v>
      </c>
      <c r="I9" s="175"/>
      <c r="J9" s="175"/>
      <c r="K9" s="175">
        <f t="shared" si="2"/>
        <v>0</v>
      </c>
      <c r="L9" s="212"/>
      <c r="M9" s="175"/>
      <c r="N9" s="175">
        <f t="shared" si="3"/>
        <v>0</v>
      </c>
      <c r="O9" s="175"/>
      <c r="P9" s="175"/>
      <c r="Q9" s="175">
        <f t="shared" si="4"/>
        <v>0</v>
      </c>
      <c r="R9" s="175"/>
      <c r="S9" s="175"/>
      <c r="T9" s="211">
        <f t="shared" si="5"/>
        <v>0</v>
      </c>
      <c r="U9" s="175"/>
      <c r="V9" s="175"/>
      <c r="W9" s="175">
        <f t="shared" si="6"/>
        <v>0</v>
      </c>
      <c r="X9" s="175"/>
      <c r="Y9" s="175"/>
      <c r="Z9" s="175">
        <f t="shared" si="7"/>
        <v>0</v>
      </c>
      <c r="AA9" s="175"/>
      <c r="AB9" s="175"/>
      <c r="AC9" s="175">
        <f t="shared" si="8"/>
        <v>0</v>
      </c>
      <c r="AD9" s="175"/>
      <c r="AE9" s="175"/>
      <c r="AF9" s="211">
        <f t="shared" si="9"/>
        <v>0</v>
      </c>
      <c r="AG9" s="175"/>
      <c r="AH9" s="175"/>
      <c r="AI9" s="175">
        <f t="shared" si="10"/>
        <v>0</v>
      </c>
      <c r="AJ9" s="175"/>
      <c r="AK9" s="175"/>
      <c r="AL9" s="175">
        <f t="shared" si="11"/>
        <v>0</v>
      </c>
      <c r="AM9" s="175"/>
      <c r="AN9" s="175"/>
      <c r="AO9" s="175">
        <f t="shared" si="12"/>
        <v>0</v>
      </c>
      <c r="AP9" s="175"/>
      <c r="AQ9" s="175"/>
      <c r="AR9" s="211">
        <f t="shared" si="13"/>
        <v>0</v>
      </c>
      <c r="AS9" s="175"/>
      <c r="AT9" s="175"/>
      <c r="AU9" s="175">
        <f t="shared" si="14"/>
        <v>0</v>
      </c>
      <c r="AV9" s="175"/>
      <c r="AW9" s="175"/>
      <c r="AX9" s="175">
        <f t="shared" si="15"/>
        <v>0</v>
      </c>
      <c r="AY9" s="175"/>
      <c r="AZ9" s="175"/>
      <c r="BA9" s="175">
        <f t="shared" si="16"/>
        <v>0</v>
      </c>
      <c r="BB9" s="175"/>
      <c r="BC9" s="175"/>
      <c r="BD9" s="211">
        <f t="shared" si="17"/>
        <v>0</v>
      </c>
      <c r="BE9" s="175"/>
      <c r="BF9" s="175"/>
      <c r="BG9" s="175">
        <f t="shared" si="18"/>
        <v>0</v>
      </c>
      <c r="BH9" s="175"/>
      <c r="BI9" s="175"/>
      <c r="BJ9" s="175">
        <f t="shared" si="19"/>
        <v>0</v>
      </c>
      <c r="BK9" s="168">
        <f t="shared" si="20"/>
        <v>0</v>
      </c>
      <c r="BL9" s="168">
        <f t="shared" si="21"/>
        <v>0</v>
      </c>
      <c r="BM9" s="168">
        <f t="shared" si="22"/>
        <v>0</v>
      </c>
      <c r="BN9" s="168">
        <f t="shared" si="23"/>
        <v>0</v>
      </c>
      <c r="BO9" s="168">
        <f t="shared" si="24"/>
        <v>0</v>
      </c>
      <c r="BP9" s="209">
        <f t="shared" si="25"/>
        <v>0</v>
      </c>
      <c r="BQ9" s="168">
        <f t="shared" si="26"/>
        <v>0</v>
      </c>
      <c r="BR9" s="168">
        <f t="shared" si="27"/>
        <v>0</v>
      </c>
      <c r="BS9" s="168">
        <f t="shared" si="28"/>
        <v>0</v>
      </c>
      <c r="BT9" s="168">
        <f t="shared" si="29"/>
        <v>0</v>
      </c>
      <c r="BU9" s="168">
        <f t="shared" si="30"/>
        <v>0</v>
      </c>
      <c r="BV9" s="168">
        <f t="shared" si="31"/>
        <v>0</v>
      </c>
      <c r="BW9" s="208">
        <f t="shared" si="32"/>
        <v>0</v>
      </c>
      <c r="BX9" s="208">
        <f t="shared" si="33"/>
        <v>0</v>
      </c>
      <c r="BY9" s="208">
        <f t="shared" si="34"/>
        <v>0</v>
      </c>
    </row>
    <row r="10" spans="1:80" ht="16.350000000000001" customHeight="1">
      <c r="A10" s="169">
        <v>3</v>
      </c>
      <c r="B10" s="229" t="s">
        <v>48</v>
      </c>
      <c r="C10" s="175"/>
      <c r="D10" s="175"/>
      <c r="E10" s="175">
        <f t="shared" si="0"/>
        <v>0</v>
      </c>
      <c r="F10" s="175"/>
      <c r="G10" s="175"/>
      <c r="H10" s="211">
        <f t="shared" si="1"/>
        <v>0</v>
      </c>
      <c r="I10" s="175"/>
      <c r="J10" s="175"/>
      <c r="K10" s="175">
        <f t="shared" si="2"/>
        <v>0</v>
      </c>
      <c r="L10" s="212"/>
      <c r="M10" s="175"/>
      <c r="N10" s="175">
        <f t="shared" si="3"/>
        <v>0</v>
      </c>
      <c r="O10" s="175"/>
      <c r="P10" s="175"/>
      <c r="Q10" s="175">
        <f t="shared" si="4"/>
        <v>0</v>
      </c>
      <c r="R10" s="175"/>
      <c r="S10" s="175"/>
      <c r="T10" s="211">
        <f t="shared" si="5"/>
        <v>0</v>
      </c>
      <c r="U10" s="175"/>
      <c r="V10" s="175"/>
      <c r="W10" s="175">
        <f t="shared" si="6"/>
        <v>0</v>
      </c>
      <c r="X10" s="175"/>
      <c r="Y10" s="175"/>
      <c r="Z10" s="175">
        <f t="shared" si="7"/>
        <v>0</v>
      </c>
      <c r="AA10" s="175"/>
      <c r="AB10" s="175"/>
      <c r="AC10" s="175">
        <f t="shared" si="8"/>
        <v>0</v>
      </c>
      <c r="AD10" s="175"/>
      <c r="AE10" s="175"/>
      <c r="AF10" s="211">
        <f t="shared" si="9"/>
        <v>0</v>
      </c>
      <c r="AG10" s="175"/>
      <c r="AH10" s="175"/>
      <c r="AI10" s="175">
        <f t="shared" si="10"/>
        <v>0</v>
      </c>
      <c r="AJ10" s="175"/>
      <c r="AK10" s="175"/>
      <c r="AL10" s="175">
        <f t="shared" si="11"/>
        <v>0</v>
      </c>
      <c r="AM10" s="175"/>
      <c r="AN10" s="175"/>
      <c r="AO10" s="175">
        <f t="shared" si="12"/>
        <v>0</v>
      </c>
      <c r="AP10" s="175"/>
      <c r="AQ10" s="175"/>
      <c r="AR10" s="211">
        <f t="shared" si="13"/>
        <v>0</v>
      </c>
      <c r="AS10" s="175"/>
      <c r="AT10" s="175"/>
      <c r="AU10" s="175">
        <f t="shared" si="14"/>
        <v>0</v>
      </c>
      <c r="AV10" s="175"/>
      <c r="AW10" s="175"/>
      <c r="AX10" s="175">
        <f t="shared" si="15"/>
        <v>0</v>
      </c>
      <c r="AY10" s="175"/>
      <c r="AZ10" s="175"/>
      <c r="BA10" s="175">
        <f t="shared" si="16"/>
        <v>0</v>
      </c>
      <c r="BB10" s="175"/>
      <c r="BC10" s="175"/>
      <c r="BD10" s="211">
        <f t="shared" si="17"/>
        <v>0</v>
      </c>
      <c r="BE10" s="175"/>
      <c r="BF10" s="175"/>
      <c r="BG10" s="175">
        <f t="shared" si="18"/>
        <v>0</v>
      </c>
      <c r="BH10" s="175"/>
      <c r="BI10" s="175"/>
      <c r="BJ10" s="175">
        <f t="shared" si="19"/>
        <v>0</v>
      </c>
      <c r="BK10" s="168">
        <f t="shared" si="20"/>
        <v>0</v>
      </c>
      <c r="BL10" s="168">
        <f t="shared" si="21"/>
        <v>0</v>
      </c>
      <c r="BM10" s="168">
        <f t="shared" si="22"/>
        <v>0</v>
      </c>
      <c r="BN10" s="168">
        <f t="shared" si="23"/>
        <v>0</v>
      </c>
      <c r="BO10" s="168">
        <f t="shared" si="24"/>
        <v>0</v>
      </c>
      <c r="BP10" s="209">
        <f t="shared" si="25"/>
        <v>0</v>
      </c>
      <c r="BQ10" s="168">
        <f t="shared" si="26"/>
        <v>0</v>
      </c>
      <c r="BR10" s="168">
        <f t="shared" si="27"/>
        <v>0</v>
      </c>
      <c r="BS10" s="168">
        <f t="shared" si="28"/>
        <v>0</v>
      </c>
      <c r="BT10" s="168">
        <f t="shared" si="29"/>
        <v>0</v>
      </c>
      <c r="BU10" s="168">
        <f t="shared" si="30"/>
        <v>0</v>
      </c>
      <c r="BV10" s="168">
        <f t="shared" si="31"/>
        <v>0</v>
      </c>
      <c r="BW10" s="208">
        <f t="shared" si="32"/>
        <v>0</v>
      </c>
      <c r="BX10" s="208">
        <f t="shared" si="33"/>
        <v>0</v>
      </c>
      <c r="BY10" s="208">
        <f t="shared" si="34"/>
        <v>0</v>
      </c>
    </row>
    <row r="11" spans="1:80" ht="16.350000000000001" customHeight="1">
      <c r="A11" s="169">
        <v>4</v>
      </c>
      <c r="B11" s="229" t="s">
        <v>18</v>
      </c>
      <c r="C11" s="175"/>
      <c r="D11" s="220"/>
      <c r="E11" s="175">
        <f t="shared" si="0"/>
        <v>0</v>
      </c>
      <c r="F11" s="175"/>
      <c r="G11" s="220"/>
      <c r="H11" s="211">
        <f t="shared" si="1"/>
        <v>0</v>
      </c>
      <c r="I11" s="175"/>
      <c r="J11" s="175"/>
      <c r="K11" s="175">
        <f t="shared" si="2"/>
        <v>0</v>
      </c>
      <c r="L11" s="212"/>
      <c r="M11" s="220"/>
      <c r="N11" s="175">
        <f t="shared" si="3"/>
        <v>0</v>
      </c>
      <c r="O11" s="175"/>
      <c r="P11" s="220"/>
      <c r="Q11" s="175">
        <f t="shared" si="4"/>
        <v>0</v>
      </c>
      <c r="R11" s="175"/>
      <c r="S11" s="220"/>
      <c r="T11" s="211">
        <f t="shared" si="5"/>
        <v>0</v>
      </c>
      <c r="U11" s="175"/>
      <c r="V11" s="220"/>
      <c r="W11" s="175">
        <f t="shared" si="6"/>
        <v>0</v>
      </c>
      <c r="X11" s="175"/>
      <c r="Y11" s="220"/>
      <c r="Z11" s="175">
        <f t="shared" si="7"/>
        <v>0</v>
      </c>
      <c r="AA11" s="175"/>
      <c r="AB11" s="220"/>
      <c r="AC11" s="175">
        <f t="shared" si="8"/>
        <v>0</v>
      </c>
      <c r="AD11" s="175"/>
      <c r="AE11" s="220"/>
      <c r="AF11" s="211">
        <f t="shared" si="9"/>
        <v>0</v>
      </c>
      <c r="AG11" s="175"/>
      <c r="AH11" s="220"/>
      <c r="AI11" s="175">
        <f t="shared" si="10"/>
        <v>0</v>
      </c>
      <c r="AJ11" s="175"/>
      <c r="AK11" s="220"/>
      <c r="AL11" s="175">
        <f t="shared" si="11"/>
        <v>0</v>
      </c>
      <c r="AM11" s="175"/>
      <c r="AN11" s="220"/>
      <c r="AO11" s="175">
        <f t="shared" si="12"/>
        <v>0</v>
      </c>
      <c r="AP11" s="175"/>
      <c r="AQ11" s="220"/>
      <c r="AR11" s="211">
        <f t="shared" si="13"/>
        <v>0</v>
      </c>
      <c r="AS11" s="175"/>
      <c r="AT11" s="220"/>
      <c r="AU11" s="175">
        <f t="shared" si="14"/>
        <v>0</v>
      </c>
      <c r="AV11" s="175"/>
      <c r="AW11" s="220"/>
      <c r="AX11" s="175">
        <f t="shared" si="15"/>
        <v>0</v>
      </c>
      <c r="AY11" s="175"/>
      <c r="AZ11" s="220"/>
      <c r="BA11" s="175">
        <f t="shared" si="16"/>
        <v>0</v>
      </c>
      <c r="BB11" s="175"/>
      <c r="BC11" s="220"/>
      <c r="BD11" s="211">
        <f t="shared" si="17"/>
        <v>0</v>
      </c>
      <c r="BE11" s="175"/>
      <c r="BF11" s="220"/>
      <c r="BG11" s="175">
        <f t="shared" si="18"/>
        <v>0</v>
      </c>
      <c r="BH11" s="175"/>
      <c r="BI11" s="220"/>
      <c r="BJ11" s="175">
        <f t="shared" si="19"/>
        <v>0</v>
      </c>
      <c r="BK11" s="168">
        <f t="shared" si="20"/>
        <v>0</v>
      </c>
      <c r="BL11" s="168">
        <f t="shared" si="21"/>
        <v>0</v>
      </c>
      <c r="BM11" s="168">
        <f t="shared" si="22"/>
        <v>0</v>
      </c>
      <c r="BN11" s="168">
        <f t="shared" si="23"/>
        <v>0</v>
      </c>
      <c r="BO11" s="168">
        <f t="shared" si="24"/>
        <v>0</v>
      </c>
      <c r="BP11" s="209">
        <f t="shared" si="25"/>
        <v>0</v>
      </c>
      <c r="BQ11" s="168">
        <f t="shared" si="26"/>
        <v>0</v>
      </c>
      <c r="BR11" s="168">
        <f t="shared" si="27"/>
        <v>0</v>
      </c>
      <c r="BS11" s="168">
        <f t="shared" si="28"/>
        <v>0</v>
      </c>
      <c r="BT11" s="168">
        <f t="shared" si="29"/>
        <v>0</v>
      </c>
      <c r="BU11" s="168">
        <f t="shared" si="30"/>
        <v>0</v>
      </c>
      <c r="BV11" s="168">
        <f t="shared" si="31"/>
        <v>0</v>
      </c>
      <c r="BW11" s="208">
        <f t="shared" si="32"/>
        <v>0</v>
      </c>
      <c r="BX11" s="208">
        <f t="shared" si="33"/>
        <v>0</v>
      </c>
      <c r="BY11" s="208">
        <f t="shared" si="34"/>
        <v>0</v>
      </c>
    </row>
    <row r="12" spans="1:80" ht="16.350000000000001" customHeight="1">
      <c r="A12" s="169">
        <v>5</v>
      </c>
      <c r="B12" s="230" t="s">
        <v>19</v>
      </c>
      <c r="C12" s="175"/>
      <c r="D12" s="175"/>
      <c r="E12" s="175">
        <f t="shared" si="0"/>
        <v>0</v>
      </c>
      <c r="F12" s="175"/>
      <c r="G12" s="175"/>
      <c r="H12" s="211">
        <f t="shared" si="1"/>
        <v>0</v>
      </c>
      <c r="I12" s="175"/>
      <c r="J12" s="175"/>
      <c r="K12" s="175">
        <f t="shared" si="2"/>
        <v>0</v>
      </c>
      <c r="L12" s="212"/>
      <c r="M12" s="175"/>
      <c r="N12" s="175">
        <f t="shared" si="3"/>
        <v>0</v>
      </c>
      <c r="O12" s="175"/>
      <c r="P12" s="175"/>
      <c r="Q12" s="175">
        <f t="shared" si="4"/>
        <v>0</v>
      </c>
      <c r="R12" s="175"/>
      <c r="S12" s="175"/>
      <c r="T12" s="211">
        <f t="shared" si="5"/>
        <v>0</v>
      </c>
      <c r="U12" s="175"/>
      <c r="V12" s="175"/>
      <c r="W12" s="175">
        <f t="shared" si="6"/>
        <v>0</v>
      </c>
      <c r="X12" s="175"/>
      <c r="Y12" s="175"/>
      <c r="Z12" s="175">
        <f t="shared" si="7"/>
        <v>0</v>
      </c>
      <c r="AA12" s="175"/>
      <c r="AB12" s="175"/>
      <c r="AC12" s="175">
        <f t="shared" si="8"/>
        <v>0</v>
      </c>
      <c r="AD12" s="175"/>
      <c r="AE12" s="175"/>
      <c r="AF12" s="211">
        <f t="shared" si="9"/>
        <v>0</v>
      </c>
      <c r="AG12" s="175"/>
      <c r="AH12" s="175"/>
      <c r="AI12" s="175">
        <f t="shared" si="10"/>
        <v>0</v>
      </c>
      <c r="AJ12" s="175"/>
      <c r="AK12" s="175"/>
      <c r="AL12" s="175">
        <f t="shared" si="11"/>
        <v>0</v>
      </c>
      <c r="AM12" s="175"/>
      <c r="AN12" s="175"/>
      <c r="AO12" s="175">
        <f t="shared" si="12"/>
        <v>0</v>
      </c>
      <c r="AP12" s="175"/>
      <c r="AQ12" s="175"/>
      <c r="AR12" s="211">
        <f t="shared" si="13"/>
        <v>0</v>
      </c>
      <c r="AS12" s="175"/>
      <c r="AT12" s="175"/>
      <c r="AU12" s="175">
        <f t="shared" si="14"/>
        <v>0</v>
      </c>
      <c r="AV12" s="175"/>
      <c r="AW12" s="175"/>
      <c r="AX12" s="175">
        <f t="shared" si="15"/>
        <v>0</v>
      </c>
      <c r="AY12" s="175"/>
      <c r="AZ12" s="175"/>
      <c r="BA12" s="175">
        <f t="shared" si="16"/>
        <v>0</v>
      </c>
      <c r="BB12" s="175"/>
      <c r="BC12" s="175"/>
      <c r="BD12" s="211">
        <f t="shared" si="17"/>
        <v>0</v>
      </c>
      <c r="BE12" s="175"/>
      <c r="BF12" s="175"/>
      <c r="BG12" s="175">
        <f t="shared" si="18"/>
        <v>0</v>
      </c>
      <c r="BH12" s="175"/>
      <c r="BI12" s="175"/>
      <c r="BJ12" s="175">
        <f t="shared" si="19"/>
        <v>0</v>
      </c>
      <c r="BK12" s="168">
        <f t="shared" si="20"/>
        <v>0</v>
      </c>
      <c r="BL12" s="168">
        <f t="shared" si="21"/>
        <v>0</v>
      </c>
      <c r="BM12" s="168">
        <f t="shared" si="22"/>
        <v>0</v>
      </c>
      <c r="BN12" s="168">
        <f t="shared" si="23"/>
        <v>0</v>
      </c>
      <c r="BO12" s="168">
        <f t="shared" si="24"/>
        <v>0</v>
      </c>
      <c r="BP12" s="209">
        <f t="shared" si="25"/>
        <v>0</v>
      </c>
      <c r="BQ12" s="168">
        <f t="shared" si="26"/>
        <v>0</v>
      </c>
      <c r="BR12" s="168">
        <f t="shared" si="27"/>
        <v>0</v>
      </c>
      <c r="BS12" s="168">
        <f t="shared" si="28"/>
        <v>0</v>
      </c>
      <c r="BT12" s="168">
        <f t="shared" si="29"/>
        <v>0</v>
      </c>
      <c r="BU12" s="168">
        <f t="shared" si="30"/>
        <v>0</v>
      </c>
      <c r="BV12" s="168">
        <f t="shared" si="31"/>
        <v>0</v>
      </c>
      <c r="BW12" s="208">
        <f t="shared" si="32"/>
        <v>0</v>
      </c>
      <c r="BX12" s="208">
        <f t="shared" si="33"/>
        <v>0</v>
      </c>
      <c r="BY12" s="208">
        <f t="shared" si="34"/>
        <v>0</v>
      </c>
    </row>
    <row r="13" spans="1:80" ht="16.350000000000001" customHeight="1">
      <c r="A13" s="169">
        <v>6</v>
      </c>
      <c r="B13" s="229" t="s">
        <v>20</v>
      </c>
      <c r="C13" s="158"/>
      <c r="D13" s="158"/>
      <c r="E13" s="175">
        <f t="shared" si="0"/>
        <v>0</v>
      </c>
      <c r="F13" s="158"/>
      <c r="G13" s="158"/>
      <c r="H13" s="211">
        <f t="shared" si="1"/>
        <v>0</v>
      </c>
      <c r="I13" s="158"/>
      <c r="J13" s="158"/>
      <c r="K13" s="175">
        <f t="shared" si="2"/>
        <v>0</v>
      </c>
      <c r="L13" s="221"/>
      <c r="M13" s="158"/>
      <c r="N13" s="175">
        <f t="shared" si="3"/>
        <v>0</v>
      </c>
      <c r="O13" s="158"/>
      <c r="P13" s="158"/>
      <c r="Q13" s="175">
        <f t="shared" si="4"/>
        <v>0</v>
      </c>
      <c r="R13" s="158"/>
      <c r="S13" s="158"/>
      <c r="T13" s="211">
        <f t="shared" si="5"/>
        <v>0</v>
      </c>
      <c r="U13" s="158"/>
      <c r="V13" s="158"/>
      <c r="W13" s="175">
        <f t="shared" si="6"/>
        <v>0</v>
      </c>
      <c r="X13" s="158"/>
      <c r="Y13" s="158"/>
      <c r="Z13" s="175">
        <f t="shared" si="7"/>
        <v>0</v>
      </c>
      <c r="AA13" s="158"/>
      <c r="AB13" s="158"/>
      <c r="AC13" s="175">
        <f t="shared" si="8"/>
        <v>0</v>
      </c>
      <c r="AD13" s="158"/>
      <c r="AE13" s="158"/>
      <c r="AF13" s="211">
        <f t="shared" si="9"/>
        <v>0</v>
      </c>
      <c r="AG13" s="158"/>
      <c r="AH13" s="158"/>
      <c r="AI13" s="175">
        <f t="shared" si="10"/>
        <v>0</v>
      </c>
      <c r="AJ13" s="158"/>
      <c r="AK13" s="158"/>
      <c r="AL13" s="175">
        <f t="shared" si="11"/>
        <v>0</v>
      </c>
      <c r="AM13" s="158"/>
      <c r="AN13" s="158"/>
      <c r="AO13" s="175">
        <f t="shared" si="12"/>
        <v>0</v>
      </c>
      <c r="AP13" s="158"/>
      <c r="AQ13" s="158"/>
      <c r="AR13" s="211">
        <f t="shared" si="13"/>
        <v>0</v>
      </c>
      <c r="AS13" s="158"/>
      <c r="AT13" s="158"/>
      <c r="AU13" s="175">
        <f t="shared" si="14"/>
        <v>0</v>
      </c>
      <c r="AV13" s="158"/>
      <c r="AW13" s="158"/>
      <c r="AX13" s="175">
        <f t="shared" si="15"/>
        <v>0</v>
      </c>
      <c r="AY13" s="158"/>
      <c r="AZ13" s="158"/>
      <c r="BA13" s="175">
        <f t="shared" si="16"/>
        <v>0</v>
      </c>
      <c r="BB13" s="158"/>
      <c r="BC13" s="158"/>
      <c r="BD13" s="211">
        <f t="shared" si="17"/>
        <v>0</v>
      </c>
      <c r="BE13" s="158"/>
      <c r="BF13" s="158"/>
      <c r="BG13" s="175">
        <f t="shared" si="18"/>
        <v>0</v>
      </c>
      <c r="BH13" s="158"/>
      <c r="BI13" s="158"/>
      <c r="BJ13" s="175">
        <f t="shared" si="19"/>
        <v>0</v>
      </c>
      <c r="BK13" s="168">
        <f t="shared" si="20"/>
        <v>0</v>
      </c>
      <c r="BL13" s="168">
        <f t="shared" si="21"/>
        <v>0</v>
      </c>
      <c r="BM13" s="168">
        <f t="shared" si="22"/>
        <v>0</v>
      </c>
      <c r="BN13" s="168">
        <f t="shared" si="23"/>
        <v>0</v>
      </c>
      <c r="BO13" s="168">
        <f t="shared" si="24"/>
        <v>0</v>
      </c>
      <c r="BP13" s="209">
        <f t="shared" si="25"/>
        <v>0</v>
      </c>
      <c r="BQ13" s="168">
        <f t="shared" si="26"/>
        <v>0</v>
      </c>
      <c r="BR13" s="168">
        <f t="shared" si="27"/>
        <v>0</v>
      </c>
      <c r="BS13" s="168">
        <f t="shared" si="28"/>
        <v>0</v>
      </c>
      <c r="BT13" s="168">
        <f t="shared" si="29"/>
        <v>0</v>
      </c>
      <c r="BU13" s="168">
        <f t="shared" si="30"/>
        <v>0</v>
      </c>
      <c r="BV13" s="168">
        <f t="shared" si="31"/>
        <v>0</v>
      </c>
      <c r="BW13" s="208">
        <f t="shared" si="32"/>
        <v>0</v>
      </c>
      <c r="BX13" s="208">
        <f t="shared" si="33"/>
        <v>0</v>
      </c>
      <c r="BY13" s="208">
        <f t="shared" si="34"/>
        <v>0</v>
      </c>
    </row>
    <row r="14" spans="1:80" ht="16.350000000000001" customHeight="1">
      <c r="A14" s="169">
        <v>7</v>
      </c>
      <c r="B14" s="229" t="s">
        <v>21</v>
      </c>
      <c r="C14" s="175"/>
      <c r="D14" s="175"/>
      <c r="E14" s="175">
        <f t="shared" si="0"/>
        <v>0</v>
      </c>
      <c r="F14" s="175"/>
      <c r="G14" s="175"/>
      <c r="H14" s="211">
        <f t="shared" si="1"/>
        <v>0</v>
      </c>
      <c r="I14" s="175"/>
      <c r="J14" s="175"/>
      <c r="K14" s="175">
        <f t="shared" si="2"/>
        <v>0</v>
      </c>
      <c r="L14" s="212"/>
      <c r="M14" s="175"/>
      <c r="N14" s="175">
        <f t="shared" si="3"/>
        <v>0</v>
      </c>
      <c r="O14" s="175"/>
      <c r="P14" s="175"/>
      <c r="Q14" s="175">
        <f t="shared" si="4"/>
        <v>0</v>
      </c>
      <c r="R14" s="175"/>
      <c r="S14" s="175"/>
      <c r="T14" s="211">
        <f t="shared" si="5"/>
        <v>0</v>
      </c>
      <c r="U14" s="175"/>
      <c r="V14" s="175"/>
      <c r="W14" s="175">
        <f t="shared" si="6"/>
        <v>0</v>
      </c>
      <c r="X14" s="175"/>
      <c r="Y14" s="175"/>
      <c r="Z14" s="175">
        <f t="shared" si="7"/>
        <v>0</v>
      </c>
      <c r="AA14" s="175"/>
      <c r="AB14" s="175"/>
      <c r="AC14" s="175">
        <f t="shared" si="8"/>
        <v>0</v>
      </c>
      <c r="AD14" s="175"/>
      <c r="AE14" s="175"/>
      <c r="AF14" s="211">
        <f t="shared" si="9"/>
        <v>0</v>
      </c>
      <c r="AG14" s="175"/>
      <c r="AH14" s="175"/>
      <c r="AI14" s="175">
        <f t="shared" si="10"/>
        <v>0</v>
      </c>
      <c r="AJ14" s="175"/>
      <c r="AK14" s="175"/>
      <c r="AL14" s="175">
        <f t="shared" si="11"/>
        <v>0</v>
      </c>
      <c r="AM14" s="175"/>
      <c r="AN14" s="175"/>
      <c r="AO14" s="175">
        <f t="shared" si="12"/>
        <v>0</v>
      </c>
      <c r="AP14" s="175"/>
      <c r="AQ14" s="175"/>
      <c r="AR14" s="211">
        <f t="shared" si="13"/>
        <v>0</v>
      </c>
      <c r="AS14" s="175"/>
      <c r="AT14" s="175"/>
      <c r="AU14" s="175">
        <f t="shared" si="14"/>
        <v>0</v>
      </c>
      <c r="AV14" s="175"/>
      <c r="AW14" s="175"/>
      <c r="AX14" s="175">
        <f t="shared" si="15"/>
        <v>0</v>
      </c>
      <c r="AY14" s="175"/>
      <c r="AZ14" s="175"/>
      <c r="BA14" s="175">
        <f t="shared" si="16"/>
        <v>0</v>
      </c>
      <c r="BB14" s="175"/>
      <c r="BC14" s="175"/>
      <c r="BD14" s="211">
        <f t="shared" si="17"/>
        <v>0</v>
      </c>
      <c r="BE14" s="175"/>
      <c r="BF14" s="175"/>
      <c r="BG14" s="175">
        <f t="shared" si="18"/>
        <v>0</v>
      </c>
      <c r="BH14" s="175"/>
      <c r="BI14" s="175"/>
      <c r="BJ14" s="175">
        <f t="shared" si="19"/>
        <v>0</v>
      </c>
      <c r="BK14" s="168">
        <f t="shared" si="20"/>
        <v>0</v>
      </c>
      <c r="BL14" s="168">
        <f t="shared" si="21"/>
        <v>0</v>
      </c>
      <c r="BM14" s="168">
        <f t="shared" si="22"/>
        <v>0</v>
      </c>
      <c r="BN14" s="168">
        <f t="shared" si="23"/>
        <v>0</v>
      </c>
      <c r="BO14" s="168">
        <f t="shared" si="24"/>
        <v>0</v>
      </c>
      <c r="BP14" s="209">
        <f t="shared" si="25"/>
        <v>0</v>
      </c>
      <c r="BQ14" s="168">
        <f t="shared" si="26"/>
        <v>0</v>
      </c>
      <c r="BR14" s="168">
        <f t="shared" si="27"/>
        <v>0</v>
      </c>
      <c r="BS14" s="168">
        <f t="shared" si="28"/>
        <v>0</v>
      </c>
      <c r="BT14" s="168">
        <f t="shared" si="29"/>
        <v>0</v>
      </c>
      <c r="BU14" s="168">
        <f t="shared" si="30"/>
        <v>0</v>
      </c>
      <c r="BV14" s="168">
        <f t="shared" si="31"/>
        <v>0</v>
      </c>
      <c r="BW14" s="208">
        <f t="shared" si="32"/>
        <v>0</v>
      </c>
      <c r="BX14" s="208">
        <f t="shared" si="33"/>
        <v>0</v>
      </c>
      <c r="BY14" s="208">
        <f t="shared" si="34"/>
        <v>0</v>
      </c>
    </row>
    <row r="15" spans="1:80" ht="16.350000000000001" customHeight="1">
      <c r="A15" s="169">
        <v>8</v>
      </c>
      <c r="B15" s="229" t="s">
        <v>22</v>
      </c>
      <c r="C15" s="175"/>
      <c r="D15" s="175"/>
      <c r="E15" s="175">
        <f t="shared" si="0"/>
        <v>0</v>
      </c>
      <c r="F15" s="175"/>
      <c r="G15" s="175"/>
      <c r="H15" s="211">
        <f t="shared" si="1"/>
        <v>0</v>
      </c>
      <c r="I15" s="175"/>
      <c r="J15" s="175"/>
      <c r="K15" s="175">
        <f t="shared" si="2"/>
        <v>0</v>
      </c>
      <c r="L15" s="212"/>
      <c r="M15" s="175"/>
      <c r="N15" s="175">
        <f t="shared" si="3"/>
        <v>0</v>
      </c>
      <c r="O15" s="175"/>
      <c r="P15" s="175"/>
      <c r="Q15" s="175">
        <f t="shared" si="4"/>
        <v>0</v>
      </c>
      <c r="R15" s="175"/>
      <c r="S15" s="175"/>
      <c r="T15" s="211">
        <f t="shared" si="5"/>
        <v>0</v>
      </c>
      <c r="U15" s="175"/>
      <c r="V15" s="175"/>
      <c r="W15" s="175">
        <f t="shared" si="6"/>
        <v>0</v>
      </c>
      <c r="X15" s="175"/>
      <c r="Y15" s="175"/>
      <c r="Z15" s="175">
        <f t="shared" si="7"/>
        <v>0</v>
      </c>
      <c r="AA15" s="175"/>
      <c r="AB15" s="175"/>
      <c r="AC15" s="175">
        <f t="shared" si="8"/>
        <v>0</v>
      </c>
      <c r="AD15" s="175"/>
      <c r="AE15" s="175"/>
      <c r="AF15" s="211">
        <f t="shared" si="9"/>
        <v>0</v>
      </c>
      <c r="AG15" s="175"/>
      <c r="AH15" s="175"/>
      <c r="AI15" s="175">
        <f t="shared" si="10"/>
        <v>0</v>
      </c>
      <c r="AJ15" s="175"/>
      <c r="AK15" s="175"/>
      <c r="AL15" s="175">
        <f t="shared" si="11"/>
        <v>0</v>
      </c>
      <c r="AM15" s="175"/>
      <c r="AN15" s="175"/>
      <c r="AO15" s="175">
        <f t="shared" si="12"/>
        <v>0</v>
      </c>
      <c r="AP15" s="175"/>
      <c r="AQ15" s="175"/>
      <c r="AR15" s="211">
        <f t="shared" si="13"/>
        <v>0</v>
      </c>
      <c r="AS15" s="175"/>
      <c r="AT15" s="175"/>
      <c r="AU15" s="175">
        <f t="shared" si="14"/>
        <v>0</v>
      </c>
      <c r="AV15" s="175"/>
      <c r="AW15" s="175"/>
      <c r="AX15" s="175">
        <f t="shared" si="15"/>
        <v>0</v>
      </c>
      <c r="AY15" s="175"/>
      <c r="AZ15" s="175"/>
      <c r="BA15" s="175">
        <f t="shared" si="16"/>
        <v>0</v>
      </c>
      <c r="BB15" s="175"/>
      <c r="BC15" s="175"/>
      <c r="BD15" s="211">
        <f t="shared" si="17"/>
        <v>0</v>
      </c>
      <c r="BE15" s="175"/>
      <c r="BF15" s="175"/>
      <c r="BG15" s="175">
        <f t="shared" si="18"/>
        <v>0</v>
      </c>
      <c r="BH15" s="175"/>
      <c r="BI15" s="175"/>
      <c r="BJ15" s="175">
        <f t="shared" si="19"/>
        <v>0</v>
      </c>
      <c r="BK15" s="168">
        <f t="shared" si="20"/>
        <v>0</v>
      </c>
      <c r="BL15" s="168">
        <f t="shared" si="21"/>
        <v>0</v>
      </c>
      <c r="BM15" s="168">
        <f t="shared" si="22"/>
        <v>0</v>
      </c>
      <c r="BN15" s="168">
        <f t="shared" si="23"/>
        <v>0</v>
      </c>
      <c r="BO15" s="168">
        <f t="shared" si="24"/>
        <v>0</v>
      </c>
      <c r="BP15" s="209">
        <f t="shared" si="25"/>
        <v>0</v>
      </c>
      <c r="BQ15" s="168">
        <f t="shared" si="26"/>
        <v>0</v>
      </c>
      <c r="BR15" s="168">
        <f t="shared" si="27"/>
        <v>0</v>
      </c>
      <c r="BS15" s="168">
        <f t="shared" si="28"/>
        <v>0</v>
      </c>
      <c r="BT15" s="168">
        <f t="shared" si="29"/>
        <v>0</v>
      </c>
      <c r="BU15" s="168">
        <f t="shared" si="30"/>
        <v>0</v>
      </c>
      <c r="BV15" s="168">
        <f t="shared" si="31"/>
        <v>0</v>
      </c>
      <c r="BW15" s="208">
        <f t="shared" si="32"/>
        <v>0</v>
      </c>
      <c r="BX15" s="208">
        <f t="shared" si="33"/>
        <v>0</v>
      </c>
      <c r="BY15" s="208">
        <f t="shared" si="34"/>
        <v>0</v>
      </c>
    </row>
    <row r="16" spans="1:80" ht="16.350000000000001" customHeight="1">
      <c r="A16" s="169">
        <v>9</v>
      </c>
      <c r="B16" s="229" t="s">
        <v>50</v>
      </c>
      <c r="C16" s="175"/>
      <c r="D16" s="175"/>
      <c r="E16" s="175">
        <f t="shared" si="0"/>
        <v>0</v>
      </c>
      <c r="F16" s="175"/>
      <c r="G16" s="175"/>
      <c r="H16" s="211">
        <f t="shared" si="1"/>
        <v>0</v>
      </c>
      <c r="I16" s="158"/>
      <c r="J16" s="158"/>
      <c r="K16" s="175">
        <f t="shared" si="2"/>
        <v>0</v>
      </c>
      <c r="L16" s="221"/>
      <c r="M16" s="158"/>
      <c r="N16" s="175">
        <f t="shared" si="3"/>
        <v>0</v>
      </c>
      <c r="O16" s="175"/>
      <c r="P16" s="175"/>
      <c r="Q16" s="175">
        <f t="shared" si="4"/>
        <v>0</v>
      </c>
      <c r="R16" s="175"/>
      <c r="S16" s="175"/>
      <c r="T16" s="211">
        <f t="shared" si="5"/>
        <v>0</v>
      </c>
      <c r="U16" s="158"/>
      <c r="V16" s="158"/>
      <c r="W16" s="175">
        <f t="shared" si="6"/>
        <v>0</v>
      </c>
      <c r="X16" s="158"/>
      <c r="Y16" s="158"/>
      <c r="Z16" s="175">
        <f t="shared" si="7"/>
        <v>0</v>
      </c>
      <c r="AA16" s="175"/>
      <c r="AB16" s="175"/>
      <c r="AC16" s="175">
        <f t="shared" si="8"/>
        <v>0</v>
      </c>
      <c r="AD16" s="175"/>
      <c r="AE16" s="175"/>
      <c r="AF16" s="211">
        <f t="shared" si="9"/>
        <v>0</v>
      </c>
      <c r="AG16" s="158"/>
      <c r="AH16" s="158"/>
      <c r="AI16" s="175">
        <f t="shared" si="10"/>
        <v>0</v>
      </c>
      <c r="AJ16" s="158"/>
      <c r="AK16" s="158"/>
      <c r="AL16" s="175">
        <f t="shared" si="11"/>
        <v>0</v>
      </c>
      <c r="AM16" s="175"/>
      <c r="AN16" s="175"/>
      <c r="AO16" s="175">
        <f t="shared" si="12"/>
        <v>0</v>
      </c>
      <c r="AP16" s="175"/>
      <c r="AQ16" s="175"/>
      <c r="AR16" s="211">
        <f t="shared" si="13"/>
        <v>0</v>
      </c>
      <c r="AS16" s="158"/>
      <c r="AT16" s="158"/>
      <c r="AU16" s="175">
        <f t="shared" si="14"/>
        <v>0</v>
      </c>
      <c r="AV16" s="158"/>
      <c r="AW16" s="158"/>
      <c r="AX16" s="175">
        <f t="shared" si="15"/>
        <v>0</v>
      </c>
      <c r="AY16" s="175"/>
      <c r="AZ16" s="175"/>
      <c r="BA16" s="175">
        <f t="shared" si="16"/>
        <v>0</v>
      </c>
      <c r="BB16" s="175"/>
      <c r="BC16" s="175"/>
      <c r="BD16" s="211">
        <f t="shared" si="17"/>
        <v>0</v>
      </c>
      <c r="BE16" s="158"/>
      <c r="BF16" s="158"/>
      <c r="BG16" s="175">
        <f t="shared" si="18"/>
        <v>0</v>
      </c>
      <c r="BH16" s="158"/>
      <c r="BI16" s="158"/>
      <c r="BJ16" s="175">
        <f t="shared" si="19"/>
        <v>0</v>
      </c>
      <c r="BK16" s="168">
        <f t="shared" si="20"/>
        <v>0</v>
      </c>
      <c r="BL16" s="168">
        <f t="shared" si="21"/>
        <v>0</v>
      </c>
      <c r="BM16" s="168">
        <f t="shared" si="22"/>
        <v>0</v>
      </c>
      <c r="BN16" s="168">
        <f t="shared" si="23"/>
        <v>0</v>
      </c>
      <c r="BO16" s="168">
        <f t="shared" si="24"/>
        <v>0</v>
      </c>
      <c r="BP16" s="209">
        <f t="shared" si="25"/>
        <v>0</v>
      </c>
      <c r="BQ16" s="168">
        <f t="shared" si="26"/>
        <v>0</v>
      </c>
      <c r="BR16" s="168">
        <f t="shared" si="27"/>
        <v>0</v>
      </c>
      <c r="BS16" s="168">
        <f t="shared" si="28"/>
        <v>0</v>
      </c>
      <c r="BT16" s="168">
        <f t="shared" si="29"/>
        <v>0</v>
      </c>
      <c r="BU16" s="168">
        <f t="shared" si="30"/>
        <v>0</v>
      </c>
      <c r="BV16" s="168">
        <f t="shared" si="31"/>
        <v>0</v>
      </c>
      <c r="BW16" s="208">
        <f t="shared" si="32"/>
        <v>0</v>
      </c>
      <c r="BX16" s="208">
        <f t="shared" si="33"/>
        <v>0</v>
      </c>
      <c r="BY16" s="208">
        <f t="shared" si="34"/>
        <v>0</v>
      </c>
    </row>
    <row r="17" spans="1:77" ht="16.350000000000001" customHeight="1">
      <c r="A17" s="169">
        <v>10</v>
      </c>
      <c r="B17" s="229" t="s">
        <v>182</v>
      </c>
      <c r="C17" s="175"/>
      <c r="D17" s="175"/>
      <c r="E17" s="175">
        <f t="shared" si="0"/>
        <v>0</v>
      </c>
      <c r="F17" s="175"/>
      <c r="G17" s="175"/>
      <c r="H17" s="211">
        <f t="shared" si="1"/>
        <v>0</v>
      </c>
      <c r="I17" s="175"/>
      <c r="J17" s="175"/>
      <c r="K17" s="175">
        <f t="shared" si="2"/>
        <v>0</v>
      </c>
      <c r="L17" s="212"/>
      <c r="M17" s="175"/>
      <c r="N17" s="175">
        <f t="shared" si="3"/>
        <v>0</v>
      </c>
      <c r="O17" s="175"/>
      <c r="P17" s="175"/>
      <c r="Q17" s="175">
        <f t="shared" si="4"/>
        <v>0</v>
      </c>
      <c r="R17" s="175"/>
      <c r="S17" s="175"/>
      <c r="T17" s="211">
        <f t="shared" si="5"/>
        <v>0</v>
      </c>
      <c r="U17" s="175"/>
      <c r="V17" s="175"/>
      <c r="W17" s="175">
        <f t="shared" si="6"/>
        <v>0</v>
      </c>
      <c r="X17" s="175"/>
      <c r="Y17" s="175"/>
      <c r="Z17" s="175">
        <f t="shared" si="7"/>
        <v>0</v>
      </c>
      <c r="AA17" s="175"/>
      <c r="AB17" s="175"/>
      <c r="AC17" s="175">
        <f t="shared" si="8"/>
        <v>0</v>
      </c>
      <c r="AD17" s="175"/>
      <c r="AE17" s="175"/>
      <c r="AF17" s="211">
        <f t="shared" si="9"/>
        <v>0</v>
      </c>
      <c r="AG17" s="175"/>
      <c r="AH17" s="175"/>
      <c r="AI17" s="175">
        <f t="shared" si="10"/>
        <v>0</v>
      </c>
      <c r="AJ17" s="175"/>
      <c r="AK17" s="175"/>
      <c r="AL17" s="175">
        <f t="shared" si="11"/>
        <v>0</v>
      </c>
      <c r="AM17" s="175"/>
      <c r="AN17" s="175"/>
      <c r="AO17" s="175">
        <f t="shared" si="12"/>
        <v>0</v>
      </c>
      <c r="AP17" s="175"/>
      <c r="AQ17" s="175"/>
      <c r="AR17" s="211">
        <f t="shared" si="13"/>
        <v>0</v>
      </c>
      <c r="AS17" s="175"/>
      <c r="AT17" s="175"/>
      <c r="AU17" s="175">
        <f t="shared" si="14"/>
        <v>0</v>
      </c>
      <c r="AV17" s="175"/>
      <c r="AW17" s="175"/>
      <c r="AX17" s="175">
        <f t="shared" si="15"/>
        <v>0</v>
      </c>
      <c r="AY17" s="175"/>
      <c r="AZ17" s="175"/>
      <c r="BA17" s="175">
        <f t="shared" si="16"/>
        <v>0</v>
      </c>
      <c r="BB17" s="175"/>
      <c r="BC17" s="175"/>
      <c r="BD17" s="211">
        <f t="shared" si="17"/>
        <v>0</v>
      </c>
      <c r="BE17" s="175"/>
      <c r="BF17" s="175"/>
      <c r="BG17" s="175">
        <f t="shared" si="18"/>
        <v>0</v>
      </c>
      <c r="BH17" s="175"/>
      <c r="BI17" s="175"/>
      <c r="BJ17" s="175">
        <f t="shared" si="19"/>
        <v>0</v>
      </c>
      <c r="BK17" s="168">
        <f t="shared" si="20"/>
        <v>0</v>
      </c>
      <c r="BL17" s="168">
        <f t="shared" si="21"/>
        <v>0</v>
      </c>
      <c r="BM17" s="168">
        <f t="shared" si="22"/>
        <v>0</v>
      </c>
      <c r="BN17" s="168">
        <f t="shared" si="23"/>
        <v>0</v>
      </c>
      <c r="BO17" s="168">
        <f t="shared" si="24"/>
        <v>0</v>
      </c>
      <c r="BP17" s="209">
        <f t="shared" si="25"/>
        <v>0</v>
      </c>
      <c r="BQ17" s="168">
        <f t="shared" si="26"/>
        <v>0</v>
      </c>
      <c r="BR17" s="168">
        <f t="shared" si="27"/>
        <v>0</v>
      </c>
      <c r="BS17" s="168">
        <f t="shared" si="28"/>
        <v>0</v>
      </c>
      <c r="BT17" s="168">
        <f t="shared" si="29"/>
        <v>0</v>
      </c>
      <c r="BU17" s="168">
        <f t="shared" si="30"/>
        <v>0</v>
      </c>
      <c r="BV17" s="168">
        <f t="shared" si="31"/>
        <v>0</v>
      </c>
      <c r="BW17" s="208">
        <f t="shared" si="32"/>
        <v>0</v>
      </c>
      <c r="BX17" s="208">
        <f t="shared" si="33"/>
        <v>0</v>
      </c>
      <c r="BY17" s="208">
        <f t="shared" si="34"/>
        <v>0</v>
      </c>
    </row>
    <row r="18" spans="1:77" ht="16.350000000000001" customHeight="1">
      <c r="A18" s="169">
        <v>11</v>
      </c>
      <c r="B18" s="229" t="s">
        <v>52</v>
      </c>
      <c r="C18" s="175"/>
      <c r="D18" s="175"/>
      <c r="E18" s="175">
        <f t="shared" si="0"/>
        <v>0</v>
      </c>
      <c r="F18" s="175"/>
      <c r="G18" s="175"/>
      <c r="H18" s="211">
        <f t="shared" si="1"/>
        <v>0</v>
      </c>
      <c r="I18" s="175"/>
      <c r="J18" s="175"/>
      <c r="K18" s="175">
        <f t="shared" si="2"/>
        <v>0</v>
      </c>
      <c r="L18" s="212"/>
      <c r="M18" s="175"/>
      <c r="N18" s="175">
        <f t="shared" si="3"/>
        <v>0</v>
      </c>
      <c r="O18" s="175"/>
      <c r="P18" s="175"/>
      <c r="Q18" s="175">
        <f t="shared" si="4"/>
        <v>0</v>
      </c>
      <c r="R18" s="175"/>
      <c r="S18" s="175"/>
      <c r="T18" s="211">
        <f t="shared" si="5"/>
        <v>0</v>
      </c>
      <c r="U18" s="175"/>
      <c r="V18" s="175"/>
      <c r="W18" s="175">
        <f t="shared" si="6"/>
        <v>0</v>
      </c>
      <c r="X18" s="175"/>
      <c r="Y18" s="175"/>
      <c r="Z18" s="175">
        <f t="shared" si="7"/>
        <v>0</v>
      </c>
      <c r="AA18" s="175"/>
      <c r="AB18" s="175"/>
      <c r="AC18" s="175">
        <f t="shared" si="8"/>
        <v>0</v>
      </c>
      <c r="AD18" s="175"/>
      <c r="AE18" s="175"/>
      <c r="AF18" s="211">
        <f t="shared" si="9"/>
        <v>0</v>
      </c>
      <c r="AG18" s="175"/>
      <c r="AH18" s="175"/>
      <c r="AI18" s="175">
        <f t="shared" si="10"/>
        <v>0</v>
      </c>
      <c r="AJ18" s="175"/>
      <c r="AK18" s="175"/>
      <c r="AL18" s="175">
        <f t="shared" si="11"/>
        <v>0</v>
      </c>
      <c r="AM18" s="175"/>
      <c r="AN18" s="175"/>
      <c r="AO18" s="175">
        <f t="shared" si="12"/>
        <v>0</v>
      </c>
      <c r="AP18" s="175"/>
      <c r="AQ18" s="175"/>
      <c r="AR18" s="211">
        <f t="shared" si="13"/>
        <v>0</v>
      </c>
      <c r="AS18" s="175"/>
      <c r="AT18" s="175"/>
      <c r="AU18" s="175">
        <f t="shared" si="14"/>
        <v>0</v>
      </c>
      <c r="AV18" s="175"/>
      <c r="AW18" s="175"/>
      <c r="AX18" s="175">
        <f t="shared" si="15"/>
        <v>0</v>
      </c>
      <c r="AY18" s="175"/>
      <c r="AZ18" s="175"/>
      <c r="BA18" s="175">
        <f t="shared" si="16"/>
        <v>0</v>
      </c>
      <c r="BB18" s="175"/>
      <c r="BC18" s="175"/>
      <c r="BD18" s="211">
        <f t="shared" si="17"/>
        <v>0</v>
      </c>
      <c r="BE18" s="175"/>
      <c r="BF18" s="175"/>
      <c r="BG18" s="175">
        <f t="shared" si="18"/>
        <v>0</v>
      </c>
      <c r="BH18" s="175"/>
      <c r="BI18" s="175"/>
      <c r="BJ18" s="175">
        <f t="shared" si="19"/>
        <v>0</v>
      </c>
      <c r="BK18" s="168">
        <f t="shared" si="20"/>
        <v>0</v>
      </c>
      <c r="BL18" s="168">
        <f t="shared" si="21"/>
        <v>0</v>
      </c>
      <c r="BM18" s="168">
        <f t="shared" si="22"/>
        <v>0</v>
      </c>
      <c r="BN18" s="168">
        <f t="shared" si="23"/>
        <v>0</v>
      </c>
      <c r="BO18" s="168">
        <f t="shared" si="24"/>
        <v>0</v>
      </c>
      <c r="BP18" s="209">
        <f t="shared" si="25"/>
        <v>0</v>
      </c>
      <c r="BQ18" s="168">
        <f t="shared" si="26"/>
        <v>0</v>
      </c>
      <c r="BR18" s="168">
        <f t="shared" si="27"/>
        <v>0</v>
      </c>
      <c r="BS18" s="168">
        <f t="shared" si="28"/>
        <v>0</v>
      </c>
      <c r="BT18" s="168">
        <f t="shared" si="29"/>
        <v>0</v>
      </c>
      <c r="BU18" s="168">
        <f t="shared" si="30"/>
        <v>0</v>
      </c>
      <c r="BV18" s="168">
        <f t="shared" si="31"/>
        <v>0</v>
      </c>
      <c r="BW18" s="208">
        <f t="shared" si="32"/>
        <v>0</v>
      </c>
      <c r="BX18" s="208">
        <f t="shared" si="33"/>
        <v>0</v>
      </c>
      <c r="BY18" s="208">
        <f t="shared" si="34"/>
        <v>0</v>
      </c>
    </row>
    <row r="19" spans="1:77" ht="16.350000000000001" customHeight="1">
      <c r="A19" s="169">
        <v>12</v>
      </c>
      <c r="B19" s="229" t="s">
        <v>25</v>
      </c>
      <c r="C19" s="175"/>
      <c r="D19" s="175"/>
      <c r="E19" s="175">
        <f t="shared" si="0"/>
        <v>0</v>
      </c>
      <c r="F19" s="175"/>
      <c r="G19" s="175"/>
      <c r="H19" s="211">
        <f t="shared" si="1"/>
        <v>0</v>
      </c>
      <c r="I19" s="175"/>
      <c r="J19" s="175"/>
      <c r="K19" s="175">
        <f t="shared" si="2"/>
        <v>0</v>
      </c>
      <c r="L19" s="212"/>
      <c r="M19" s="175"/>
      <c r="N19" s="175">
        <f t="shared" si="3"/>
        <v>0</v>
      </c>
      <c r="O19" s="175"/>
      <c r="P19" s="175"/>
      <c r="Q19" s="175">
        <f t="shared" si="4"/>
        <v>0</v>
      </c>
      <c r="R19" s="175"/>
      <c r="S19" s="175"/>
      <c r="T19" s="211">
        <f t="shared" si="5"/>
        <v>0</v>
      </c>
      <c r="U19" s="175"/>
      <c r="V19" s="175"/>
      <c r="W19" s="175">
        <f t="shared" si="6"/>
        <v>0</v>
      </c>
      <c r="X19" s="175"/>
      <c r="Y19" s="175"/>
      <c r="Z19" s="175">
        <f t="shared" si="7"/>
        <v>0</v>
      </c>
      <c r="AA19" s="175"/>
      <c r="AB19" s="175"/>
      <c r="AC19" s="175">
        <f t="shared" si="8"/>
        <v>0</v>
      </c>
      <c r="AD19" s="175"/>
      <c r="AE19" s="175"/>
      <c r="AF19" s="211">
        <f t="shared" si="9"/>
        <v>0</v>
      </c>
      <c r="AG19" s="175"/>
      <c r="AH19" s="175"/>
      <c r="AI19" s="175">
        <f t="shared" si="10"/>
        <v>0</v>
      </c>
      <c r="AJ19" s="175"/>
      <c r="AK19" s="175"/>
      <c r="AL19" s="175">
        <f t="shared" si="11"/>
        <v>0</v>
      </c>
      <c r="AM19" s="175"/>
      <c r="AN19" s="175"/>
      <c r="AO19" s="175">
        <f t="shared" si="12"/>
        <v>0</v>
      </c>
      <c r="AP19" s="175"/>
      <c r="AQ19" s="175"/>
      <c r="AR19" s="211">
        <f t="shared" si="13"/>
        <v>0</v>
      </c>
      <c r="AS19" s="175"/>
      <c r="AT19" s="175"/>
      <c r="AU19" s="175">
        <f t="shared" si="14"/>
        <v>0</v>
      </c>
      <c r="AV19" s="175"/>
      <c r="AW19" s="175"/>
      <c r="AX19" s="175">
        <f t="shared" si="15"/>
        <v>0</v>
      </c>
      <c r="AY19" s="175"/>
      <c r="AZ19" s="175"/>
      <c r="BA19" s="175">
        <f t="shared" si="16"/>
        <v>0</v>
      </c>
      <c r="BB19" s="175"/>
      <c r="BC19" s="175"/>
      <c r="BD19" s="211">
        <f t="shared" si="17"/>
        <v>0</v>
      </c>
      <c r="BE19" s="175"/>
      <c r="BF19" s="175"/>
      <c r="BG19" s="175">
        <f t="shared" si="18"/>
        <v>0</v>
      </c>
      <c r="BH19" s="175"/>
      <c r="BI19" s="175"/>
      <c r="BJ19" s="175">
        <f t="shared" si="19"/>
        <v>0</v>
      </c>
      <c r="BK19" s="168">
        <f t="shared" si="20"/>
        <v>0</v>
      </c>
      <c r="BL19" s="168">
        <f t="shared" si="21"/>
        <v>0</v>
      </c>
      <c r="BM19" s="168">
        <f t="shared" si="22"/>
        <v>0</v>
      </c>
      <c r="BN19" s="168">
        <f t="shared" si="23"/>
        <v>0</v>
      </c>
      <c r="BO19" s="168">
        <f t="shared" si="24"/>
        <v>0</v>
      </c>
      <c r="BP19" s="209">
        <f t="shared" si="25"/>
        <v>0</v>
      </c>
      <c r="BQ19" s="168">
        <f t="shared" si="26"/>
        <v>0</v>
      </c>
      <c r="BR19" s="168">
        <f t="shared" si="27"/>
        <v>0</v>
      </c>
      <c r="BS19" s="168">
        <f t="shared" si="28"/>
        <v>0</v>
      </c>
      <c r="BT19" s="168">
        <f t="shared" si="29"/>
        <v>0</v>
      </c>
      <c r="BU19" s="168">
        <f t="shared" si="30"/>
        <v>0</v>
      </c>
      <c r="BV19" s="168">
        <f t="shared" si="31"/>
        <v>0</v>
      </c>
      <c r="BW19" s="208">
        <f t="shared" si="32"/>
        <v>0</v>
      </c>
      <c r="BX19" s="208">
        <f t="shared" si="33"/>
        <v>0</v>
      </c>
      <c r="BY19" s="208">
        <f t="shared" si="34"/>
        <v>0</v>
      </c>
    </row>
    <row r="20" spans="1:77" ht="16.350000000000001" customHeight="1">
      <c r="A20" s="169">
        <v>13</v>
      </c>
      <c r="B20" s="229" t="s">
        <v>53</v>
      </c>
      <c r="C20" s="175"/>
      <c r="D20" s="175"/>
      <c r="E20" s="175">
        <f t="shared" si="0"/>
        <v>0</v>
      </c>
      <c r="F20" s="175"/>
      <c r="G20" s="175"/>
      <c r="H20" s="211">
        <f t="shared" si="1"/>
        <v>0</v>
      </c>
      <c r="I20" s="175"/>
      <c r="J20" s="175"/>
      <c r="K20" s="175">
        <f t="shared" si="2"/>
        <v>0</v>
      </c>
      <c r="L20" s="212"/>
      <c r="M20" s="175"/>
      <c r="N20" s="175">
        <f t="shared" si="3"/>
        <v>0</v>
      </c>
      <c r="O20" s="175"/>
      <c r="P20" s="175"/>
      <c r="Q20" s="175">
        <f t="shared" si="4"/>
        <v>0</v>
      </c>
      <c r="R20" s="175"/>
      <c r="S20" s="175"/>
      <c r="T20" s="211">
        <f t="shared" si="5"/>
        <v>0</v>
      </c>
      <c r="U20" s="175"/>
      <c r="V20" s="175"/>
      <c r="W20" s="175">
        <f t="shared" si="6"/>
        <v>0</v>
      </c>
      <c r="X20" s="175"/>
      <c r="Y20" s="175"/>
      <c r="Z20" s="175">
        <f t="shared" si="7"/>
        <v>0</v>
      </c>
      <c r="AA20" s="175"/>
      <c r="AB20" s="175"/>
      <c r="AC20" s="175">
        <f t="shared" si="8"/>
        <v>0</v>
      </c>
      <c r="AD20" s="175"/>
      <c r="AE20" s="175"/>
      <c r="AF20" s="211">
        <f t="shared" si="9"/>
        <v>0</v>
      </c>
      <c r="AG20" s="175"/>
      <c r="AH20" s="175"/>
      <c r="AI20" s="175">
        <f t="shared" si="10"/>
        <v>0</v>
      </c>
      <c r="AJ20" s="175"/>
      <c r="AK20" s="175"/>
      <c r="AL20" s="175">
        <f t="shared" si="11"/>
        <v>0</v>
      </c>
      <c r="AM20" s="175"/>
      <c r="AN20" s="175"/>
      <c r="AO20" s="175">
        <f t="shared" si="12"/>
        <v>0</v>
      </c>
      <c r="AP20" s="175"/>
      <c r="AQ20" s="175"/>
      <c r="AR20" s="211">
        <f t="shared" si="13"/>
        <v>0</v>
      </c>
      <c r="AS20" s="175"/>
      <c r="AT20" s="175"/>
      <c r="AU20" s="175">
        <f t="shared" si="14"/>
        <v>0</v>
      </c>
      <c r="AV20" s="175"/>
      <c r="AW20" s="175"/>
      <c r="AX20" s="175">
        <f t="shared" si="15"/>
        <v>0</v>
      </c>
      <c r="AY20" s="175"/>
      <c r="AZ20" s="175"/>
      <c r="BA20" s="175">
        <f t="shared" si="16"/>
        <v>0</v>
      </c>
      <c r="BB20" s="175"/>
      <c r="BC20" s="175"/>
      <c r="BD20" s="211">
        <f t="shared" si="17"/>
        <v>0</v>
      </c>
      <c r="BE20" s="175"/>
      <c r="BF20" s="175"/>
      <c r="BG20" s="175">
        <f t="shared" si="18"/>
        <v>0</v>
      </c>
      <c r="BH20" s="175"/>
      <c r="BI20" s="175"/>
      <c r="BJ20" s="175">
        <f t="shared" si="19"/>
        <v>0</v>
      </c>
      <c r="BK20" s="168">
        <f t="shared" si="20"/>
        <v>0</v>
      </c>
      <c r="BL20" s="168">
        <f t="shared" si="21"/>
        <v>0</v>
      </c>
      <c r="BM20" s="168">
        <f t="shared" si="22"/>
        <v>0</v>
      </c>
      <c r="BN20" s="168">
        <f t="shared" si="23"/>
        <v>0</v>
      </c>
      <c r="BO20" s="168">
        <f t="shared" si="24"/>
        <v>0</v>
      </c>
      <c r="BP20" s="209">
        <f t="shared" si="25"/>
        <v>0</v>
      </c>
      <c r="BQ20" s="168">
        <f t="shared" si="26"/>
        <v>0</v>
      </c>
      <c r="BR20" s="168">
        <f t="shared" si="27"/>
        <v>0</v>
      </c>
      <c r="BS20" s="168">
        <f t="shared" si="28"/>
        <v>0</v>
      </c>
      <c r="BT20" s="168">
        <f t="shared" si="29"/>
        <v>0</v>
      </c>
      <c r="BU20" s="168">
        <f t="shared" si="30"/>
        <v>0</v>
      </c>
      <c r="BV20" s="168">
        <f t="shared" si="31"/>
        <v>0</v>
      </c>
      <c r="BW20" s="208">
        <f t="shared" si="32"/>
        <v>0</v>
      </c>
      <c r="BX20" s="208">
        <f t="shared" si="33"/>
        <v>0</v>
      </c>
      <c r="BY20" s="208">
        <f t="shared" si="34"/>
        <v>0</v>
      </c>
    </row>
    <row r="21" spans="1:77" ht="16.350000000000001" customHeight="1">
      <c r="A21" s="169">
        <v>14</v>
      </c>
      <c r="B21" s="229" t="s">
        <v>27</v>
      </c>
      <c r="C21" s="175"/>
      <c r="D21" s="175"/>
      <c r="E21" s="175">
        <f t="shared" si="0"/>
        <v>0</v>
      </c>
      <c r="F21" s="175"/>
      <c r="G21" s="175"/>
      <c r="H21" s="211">
        <f t="shared" si="1"/>
        <v>0</v>
      </c>
      <c r="I21" s="175"/>
      <c r="J21" s="175"/>
      <c r="K21" s="175">
        <f t="shared" si="2"/>
        <v>0</v>
      </c>
      <c r="L21" s="212"/>
      <c r="M21" s="175"/>
      <c r="N21" s="175">
        <f t="shared" si="3"/>
        <v>0</v>
      </c>
      <c r="O21" s="175"/>
      <c r="P21" s="175"/>
      <c r="Q21" s="175">
        <f t="shared" si="4"/>
        <v>0</v>
      </c>
      <c r="R21" s="175"/>
      <c r="S21" s="175"/>
      <c r="T21" s="211">
        <f t="shared" si="5"/>
        <v>0</v>
      </c>
      <c r="U21" s="175"/>
      <c r="V21" s="175"/>
      <c r="W21" s="175">
        <f t="shared" si="6"/>
        <v>0</v>
      </c>
      <c r="X21" s="175"/>
      <c r="Y21" s="175"/>
      <c r="Z21" s="175">
        <f t="shared" si="7"/>
        <v>0</v>
      </c>
      <c r="AA21" s="175"/>
      <c r="AB21" s="175"/>
      <c r="AC21" s="175">
        <f t="shared" si="8"/>
        <v>0</v>
      </c>
      <c r="AD21" s="175"/>
      <c r="AE21" s="175"/>
      <c r="AF21" s="211">
        <f t="shared" si="9"/>
        <v>0</v>
      </c>
      <c r="AG21" s="175"/>
      <c r="AH21" s="175"/>
      <c r="AI21" s="175">
        <f t="shared" si="10"/>
        <v>0</v>
      </c>
      <c r="AJ21" s="175"/>
      <c r="AK21" s="175"/>
      <c r="AL21" s="175">
        <f t="shared" si="11"/>
        <v>0</v>
      </c>
      <c r="AM21" s="175"/>
      <c r="AN21" s="175"/>
      <c r="AO21" s="175">
        <f t="shared" si="12"/>
        <v>0</v>
      </c>
      <c r="AP21" s="175"/>
      <c r="AQ21" s="175"/>
      <c r="AR21" s="211">
        <f t="shared" si="13"/>
        <v>0</v>
      </c>
      <c r="AS21" s="175"/>
      <c r="AT21" s="175"/>
      <c r="AU21" s="175">
        <f t="shared" si="14"/>
        <v>0</v>
      </c>
      <c r="AV21" s="175"/>
      <c r="AW21" s="175"/>
      <c r="AX21" s="175">
        <f t="shared" si="15"/>
        <v>0</v>
      </c>
      <c r="AY21" s="175"/>
      <c r="AZ21" s="175"/>
      <c r="BA21" s="175">
        <f t="shared" si="16"/>
        <v>0</v>
      </c>
      <c r="BB21" s="175"/>
      <c r="BC21" s="175"/>
      <c r="BD21" s="211">
        <f t="shared" si="17"/>
        <v>0</v>
      </c>
      <c r="BE21" s="175"/>
      <c r="BF21" s="175"/>
      <c r="BG21" s="175">
        <f t="shared" si="18"/>
        <v>0</v>
      </c>
      <c r="BH21" s="175"/>
      <c r="BI21" s="175"/>
      <c r="BJ21" s="175">
        <f t="shared" si="19"/>
        <v>0</v>
      </c>
      <c r="BK21" s="168">
        <f t="shared" si="20"/>
        <v>0</v>
      </c>
      <c r="BL21" s="168">
        <f t="shared" si="21"/>
        <v>0</v>
      </c>
      <c r="BM21" s="168">
        <f t="shared" si="22"/>
        <v>0</v>
      </c>
      <c r="BN21" s="168">
        <f t="shared" si="23"/>
        <v>0</v>
      </c>
      <c r="BO21" s="168">
        <f t="shared" si="24"/>
        <v>0</v>
      </c>
      <c r="BP21" s="209">
        <f t="shared" si="25"/>
        <v>0</v>
      </c>
      <c r="BQ21" s="168">
        <f t="shared" si="26"/>
        <v>0</v>
      </c>
      <c r="BR21" s="168">
        <f t="shared" si="27"/>
        <v>0</v>
      </c>
      <c r="BS21" s="168">
        <f t="shared" si="28"/>
        <v>0</v>
      </c>
      <c r="BT21" s="168">
        <f t="shared" si="29"/>
        <v>0</v>
      </c>
      <c r="BU21" s="168">
        <f t="shared" si="30"/>
        <v>0</v>
      </c>
      <c r="BV21" s="168">
        <f t="shared" si="31"/>
        <v>0</v>
      </c>
      <c r="BW21" s="208">
        <f t="shared" si="32"/>
        <v>0</v>
      </c>
      <c r="BX21" s="208">
        <f t="shared" si="33"/>
        <v>0</v>
      </c>
      <c r="BY21" s="208">
        <f t="shared" si="34"/>
        <v>0</v>
      </c>
    </row>
    <row r="22" spans="1:77" ht="16.350000000000001" customHeight="1">
      <c r="A22" s="169">
        <v>15</v>
      </c>
      <c r="B22" s="229" t="s">
        <v>28</v>
      </c>
      <c r="C22" s="176"/>
      <c r="D22" s="216"/>
      <c r="E22" s="216">
        <f t="shared" si="0"/>
        <v>0</v>
      </c>
      <c r="F22" s="216"/>
      <c r="G22" s="216"/>
      <c r="H22" s="218">
        <f t="shared" si="1"/>
        <v>0</v>
      </c>
      <c r="I22" s="216"/>
      <c r="J22" s="216"/>
      <c r="K22" s="216">
        <f t="shared" si="2"/>
        <v>0</v>
      </c>
      <c r="L22" s="219"/>
      <c r="M22" s="216"/>
      <c r="N22" s="216">
        <f t="shared" si="3"/>
        <v>0</v>
      </c>
      <c r="O22" s="216"/>
      <c r="P22" s="216"/>
      <c r="Q22" s="216">
        <f t="shared" si="4"/>
        <v>0</v>
      </c>
      <c r="R22" s="216"/>
      <c r="S22" s="216"/>
      <c r="T22" s="218">
        <f t="shared" si="5"/>
        <v>0</v>
      </c>
      <c r="U22" s="216"/>
      <c r="V22" s="216"/>
      <c r="W22" s="216">
        <f t="shared" si="6"/>
        <v>0</v>
      </c>
      <c r="X22" s="216"/>
      <c r="Y22" s="216"/>
      <c r="Z22" s="216">
        <f t="shared" si="7"/>
        <v>0</v>
      </c>
      <c r="AA22" s="216"/>
      <c r="AB22" s="216"/>
      <c r="AC22" s="216">
        <f t="shared" si="8"/>
        <v>0</v>
      </c>
      <c r="AD22" s="216"/>
      <c r="AE22" s="216"/>
      <c r="AF22" s="218">
        <f t="shared" si="9"/>
        <v>0</v>
      </c>
      <c r="AG22" s="216"/>
      <c r="AH22" s="216"/>
      <c r="AI22" s="216">
        <f t="shared" si="10"/>
        <v>0</v>
      </c>
      <c r="AJ22" s="216"/>
      <c r="AK22" s="216"/>
      <c r="AL22" s="216">
        <f t="shared" si="11"/>
        <v>0</v>
      </c>
      <c r="AM22" s="216"/>
      <c r="AN22" s="216"/>
      <c r="AO22" s="216">
        <f t="shared" si="12"/>
        <v>0</v>
      </c>
      <c r="AP22" s="216"/>
      <c r="AQ22" s="216"/>
      <c r="AR22" s="218">
        <f t="shared" si="13"/>
        <v>0</v>
      </c>
      <c r="AS22" s="216"/>
      <c r="AT22" s="216"/>
      <c r="AU22" s="216">
        <f t="shared" si="14"/>
        <v>0</v>
      </c>
      <c r="AV22" s="216"/>
      <c r="AW22" s="216"/>
      <c r="AX22" s="216">
        <f t="shared" si="15"/>
        <v>0</v>
      </c>
      <c r="AY22" s="216"/>
      <c r="AZ22" s="216"/>
      <c r="BA22" s="216">
        <f t="shared" si="16"/>
        <v>0</v>
      </c>
      <c r="BB22" s="216"/>
      <c r="BC22" s="216"/>
      <c r="BD22" s="218">
        <f t="shared" si="17"/>
        <v>0</v>
      </c>
      <c r="BE22" s="216"/>
      <c r="BF22" s="216"/>
      <c r="BG22" s="216">
        <f t="shared" si="18"/>
        <v>0</v>
      </c>
      <c r="BH22" s="216"/>
      <c r="BI22" s="216"/>
      <c r="BJ22" s="216">
        <f t="shared" si="19"/>
        <v>0</v>
      </c>
      <c r="BK22" s="168">
        <f t="shared" si="20"/>
        <v>0</v>
      </c>
      <c r="BL22" s="168">
        <f t="shared" si="21"/>
        <v>0</v>
      </c>
      <c r="BM22" s="168">
        <f t="shared" si="22"/>
        <v>0</v>
      </c>
      <c r="BN22" s="168">
        <f t="shared" si="23"/>
        <v>0</v>
      </c>
      <c r="BO22" s="168">
        <f t="shared" si="24"/>
        <v>0</v>
      </c>
      <c r="BP22" s="209">
        <f t="shared" si="25"/>
        <v>0</v>
      </c>
      <c r="BQ22" s="168">
        <v>0</v>
      </c>
      <c r="BR22" s="168">
        <v>0</v>
      </c>
      <c r="BS22" s="168">
        <v>0</v>
      </c>
      <c r="BT22" s="168">
        <v>0</v>
      </c>
      <c r="BU22" s="168">
        <v>0</v>
      </c>
      <c r="BV22" s="168">
        <f t="shared" si="31"/>
        <v>0</v>
      </c>
      <c r="BW22" s="208">
        <f t="shared" si="32"/>
        <v>0</v>
      </c>
      <c r="BX22" s="208">
        <f t="shared" si="33"/>
        <v>0</v>
      </c>
      <c r="BY22" s="208">
        <f t="shared" si="34"/>
        <v>0</v>
      </c>
    </row>
    <row r="23" spans="1:77" ht="16.350000000000001" customHeight="1">
      <c r="A23" s="169">
        <v>16</v>
      </c>
      <c r="B23" s="229" t="s">
        <v>29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  <c r="BJ23" s="178"/>
      <c r="BK23" s="168">
        <f t="shared" si="20"/>
        <v>0</v>
      </c>
      <c r="BL23" s="168">
        <f t="shared" si="21"/>
        <v>0</v>
      </c>
      <c r="BM23" s="168">
        <f t="shared" si="22"/>
        <v>0</v>
      </c>
      <c r="BN23" s="168">
        <f t="shared" si="23"/>
        <v>0</v>
      </c>
      <c r="BO23" s="168">
        <f t="shared" si="24"/>
        <v>0</v>
      </c>
      <c r="BP23" s="209">
        <f t="shared" si="25"/>
        <v>0</v>
      </c>
      <c r="BQ23" s="168">
        <v>0</v>
      </c>
      <c r="BR23" s="168">
        <v>0</v>
      </c>
      <c r="BS23" s="168">
        <v>0</v>
      </c>
      <c r="BT23" s="168">
        <v>0</v>
      </c>
      <c r="BU23" s="168">
        <v>0</v>
      </c>
      <c r="BV23" s="168">
        <v>0</v>
      </c>
      <c r="BW23" s="208">
        <f t="shared" si="32"/>
        <v>0</v>
      </c>
      <c r="BX23" s="208">
        <f t="shared" si="33"/>
        <v>0</v>
      </c>
      <c r="BY23" s="208">
        <f t="shared" si="34"/>
        <v>0</v>
      </c>
    </row>
    <row r="24" spans="1:77" ht="16.350000000000001" customHeight="1">
      <c r="A24" s="169">
        <v>17</v>
      </c>
      <c r="B24" s="229" t="s">
        <v>30</v>
      </c>
      <c r="C24" s="175"/>
      <c r="D24" s="220"/>
      <c r="E24" s="175">
        <f t="shared" ref="E24:E37" si="35">C24+D24</f>
        <v>0</v>
      </c>
      <c r="F24" s="175"/>
      <c r="G24" s="220"/>
      <c r="H24" s="211">
        <f t="shared" ref="H24:H37" si="36">F24+G24</f>
        <v>0</v>
      </c>
      <c r="I24" s="175"/>
      <c r="J24" s="175"/>
      <c r="K24" s="175">
        <f t="shared" ref="K24:K37" si="37">I24+J24</f>
        <v>0</v>
      </c>
      <c r="L24" s="212"/>
      <c r="M24" s="220"/>
      <c r="N24" s="175">
        <f t="shared" ref="N24:N37" si="38">L24+M24</f>
        <v>0</v>
      </c>
      <c r="O24" s="175"/>
      <c r="P24" s="220"/>
      <c r="Q24" s="175">
        <f t="shared" ref="Q24:Q37" si="39">O24+P24</f>
        <v>0</v>
      </c>
      <c r="R24" s="175"/>
      <c r="S24" s="220"/>
      <c r="T24" s="211">
        <f t="shared" ref="T24:T37" si="40">R24+S24</f>
        <v>0</v>
      </c>
      <c r="U24" s="175"/>
      <c r="V24" s="220"/>
      <c r="W24" s="175">
        <f t="shared" ref="W24:W37" si="41">U24+V24</f>
        <v>0</v>
      </c>
      <c r="X24" s="175"/>
      <c r="Y24" s="220"/>
      <c r="Z24" s="175">
        <f t="shared" ref="Z24:Z37" si="42">X24+Y24</f>
        <v>0</v>
      </c>
      <c r="AA24" s="175"/>
      <c r="AB24" s="220"/>
      <c r="AC24" s="175">
        <f t="shared" ref="AC24:AC37" si="43">AA24+AB24</f>
        <v>0</v>
      </c>
      <c r="AD24" s="175"/>
      <c r="AE24" s="220"/>
      <c r="AF24" s="211">
        <f t="shared" ref="AF24:AF37" si="44">AD24+AE24</f>
        <v>0</v>
      </c>
      <c r="AG24" s="175"/>
      <c r="AH24" s="220"/>
      <c r="AI24" s="175">
        <f t="shared" ref="AI24:AI37" si="45">AG24+AH24</f>
        <v>0</v>
      </c>
      <c r="AJ24" s="175"/>
      <c r="AK24" s="220"/>
      <c r="AL24" s="175">
        <f t="shared" ref="AL24:AL37" si="46">AJ24+AK24</f>
        <v>0</v>
      </c>
      <c r="AM24" s="175"/>
      <c r="AN24" s="220"/>
      <c r="AO24" s="175">
        <f t="shared" ref="AO24:AO37" si="47">AM24+AN24</f>
        <v>0</v>
      </c>
      <c r="AP24" s="175"/>
      <c r="AQ24" s="220"/>
      <c r="AR24" s="211">
        <f t="shared" ref="AR24:AR37" si="48">AP24+AQ24</f>
        <v>0</v>
      </c>
      <c r="AS24" s="175"/>
      <c r="AT24" s="220"/>
      <c r="AU24" s="175">
        <f t="shared" ref="AU24:AU37" si="49">AS24+AT24</f>
        <v>0</v>
      </c>
      <c r="AV24" s="175"/>
      <c r="AW24" s="220"/>
      <c r="AX24" s="175">
        <f t="shared" ref="AX24:AX37" si="50">AV24+AW24</f>
        <v>0</v>
      </c>
      <c r="AY24" s="175"/>
      <c r="AZ24" s="220"/>
      <c r="BA24" s="175">
        <f t="shared" ref="BA24:BA37" si="51">AY24+AZ24</f>
        <v>0</v>
      </c>
      <c r="BB24" s="175"/>
      <c r="BC24" s="220"/>
      <c r="BD24" s="211">
        <f t="shared" ref="BD24:BD37" si="52">BB24+BC24</f>
        <v>0</v>
      </c>
      <c r="BE24" s="175"/>
      <c r="BF24" s="220"/>
      <c r="BG24" s="175">
        <f t="shared" ref="BG24:BG37" si="53">BE24+BF24</f>
        <v>0</v>
      </c>
      <c r="BH24" s="175"/>
      <c r="BI24" s="220"/>
      <c r="BJ24" s="175">
        <f t="shared" ref="BJ24:BJ37" si="54">BH24+BI24</f>
        <v>0</v>
      </c>
      <c r="BK24" s="168">
        <f t="shared" si="20"/>
        <v>0</v>
      </c>
      <c r="BL24" s="168">
        <f t="shared" si="21"/>
        <v>0</v>
      </c>
      <c r="BM24" s="168">
        <f t="shared" si="22"/>
        <v>0</v>
      </c>
      <c r="BN24" s="168">
        <f t="shared" si="23"/>
        <v>0</v>
      </c>
      <c r="BO24" s="168">
        <f t="shared" si="24"/>
        <v>0</v>
      </c>
      <c r="BP24" s="209">
        <f t="shared" si="25"/>
        <v>0</v>
      </c>
      <c r="BQ24" s="168">
        <f>I24+U24+AG24+AS24+BE24</f>
        <v>0</v>
      </c>
      <c r="BR24" s="168">
        <f>J24+V24+AH24+AT24+BF24</f>
        <v>0</v>
      </c>
      <c r="BS24" s="168">
        <f>BQ24+BR24</f>
        <v>0</v>
      </c>
      <c r="BT24" s="168">
        <f>L24+X24+AJ24+AV24+BH24</f>
        <v>0</v>
      </c>
      <c r="BU24" s="168">
        <f>M24+Y24+AK24+AW24+BI24</f>
        <v>0</v>
      </c>
      <c r="BV24" s="168">
        <f>BT24+BU24</f>
        <v>0</v>
      </c>
      <c r="BW24" s="208">
        <f t="shared" si="32"/>
        <v>0</v>
      </c>
      <c r="BX24" s="208">
        <f t="shared" si="33"/>
        <v>0</v>
      </c>
      <c r="BY24" s="208">
        <f t="shared" si="34"/>
        <v>0</v>
      </c>
    </row>
    <row r="25" spans="1:77" ht="16.350000000000001" customHeight="1">
      <c r="A25" s="169">
        <v>18</v>
      </c>
      <c r="B25" s="229" t="s">
        <v>31</v>
      </c>
      <c r="C25" s="175"/>
      <c r="D25" s="175"/>
      <c r="E25" s="175">
        <f t="shared" si="35"/>
        <v>0</v>
      </c>
      <c r="F25" s="175"/>
      <c r="G25" s="175"/>
      <c r="H25" s="211">
        <f t="shared" si="36"/>
        <v>0</v>
      </c>
      <c r="I25" s="175"/>
      <c r="J25" s="175"/>
      <c r="K25" s="175">
        <f t="shared" si="37"/>
        <v>0</v>
      </c>
      <c r="L25" s="212"/>
      <c r="M25" s="175"/>
      <c r="N25" s="175">
        <f t="shared" si="38"/>
        <v>0</v>
      </c>
      <c r="O25" s="175"/>
      <c r="P25" s="175"/>
      <c r="Q25" s="175">
        <f t="shared" si="39"/>
        <v>0</v>
      </c>
      <c r="R25" s="175"/>
      <c r="S25" s="175"/>
      <c r="T25" s="211">
        <f t="shared" si="40"/>
        <v>0</v>
      </c>
      <c r="U25" s="175"/>
      <c r="V25" s="175"/>
      <c r="W25" s="175">
        <f t="shared" si="41"/>
        <v>0</v>
      </c>
      <c r="X25" s="175"/>
      <c r="Y25" s="175"/>
      <c r="Z25" s="175">
        <f t="shared" si="42"/>
        <v>0</v>
      </c>
      <c r="AA25" s="175"/>
      <c r="AB25" s="175"/>
      <c r="AC25" s="175">
        <f t="shared" si="43"/>
        <v>0</v>
      </c>
      <c r="AD25" s="175"/>
      <c r="AE25" s="175"/>
      <c r="AF25" s="211">
        <f t="shared" si="44"/>
        <v>0</v>
      </c>
      <c r="AG25" s="175"/>
      <c r="AH25" s="175"/>
      <c r="AI25" s="175">
        <f t="shared" si="45"/>
        <v>0</v>
      </c>
      <c r="AJ25" s="175"/>
      <c r="AK25" s="175"/>
      <c r="AL25" s="175">
        <f t="shared" si="46"/>
        <v>0</v>
      </c>
      <c r="AM25" s="175"/>
      <c r="AN25" s="175"/>
      <c r="AO25" s="175">
        <f t="shared" si="47"/>
        <v>0</v>
      </c>
      <c r="AP25" s="175"/>
      <c r="AQ25" s="175"/>
      <c r="AR25" s="211">
        <f t="shared" si="48"/>
        <v>0</v>
      </c>
      <c r="AS25" s="175"/>
      <c r="AT25" s="175"/>
      <c r="AU25" s="175">
        <f t="shared" si="49"/>
        <v>0</v>
      </c>
      <c r="AV25" s="175"/>
      <c r="AW25" s="175"/>
      <c r="AX25" s="175">
        <f t="shared" si="50"/>
        <v>0</v>
      </c>
      <c r="AY25" s="175"/>
      <c r="AZ25" s="175"/>
      <c r="BA25" s="175">
        <f t="shared" si="51"/>
        <v>0</v>
      </c>
      <c r="BB25" s="175"/>
      <c r="BC25" s="175"/>
      <c r="BD25" s="211">
        <f t="shared" si="52"/>
        <v>0</v>
      </c>
      <c r="BE25" s="175"/>
      <c r="BF25" s="175"/>
      <c r="BG25" s="175">
        <f t="shared" si="53"/>
        <v>0</v>
      </c>
      <c r="BH25" s="175"/>
      <c r="BI25" s="175"/>
      <c r="BJ25" s="175">
        <f t="shared" si="54"/>
        <v>0</v>
      </c>
      <c r="BK25" s="168">
        <f t="shared" si="20"/>
        <v>0</v>
      </c>
      <c r="BL25" s="168">
        <f t="shared" si="21"/>
        <v>0</v>
      </c>
      <c r="BM25" s="168">
        <f t="shared" si="22"/>
        <v>0</v>
      </c>
      <c r="BN25" s="168">
        <f t="shared" si="23"/>
        <v>0</v>
      </c>
      <c r="BO25" s="168">
        <f t="shared" si="24"/>
        <v>0</v>
      </c>
      <c r="BP25" s="209">
        <f t="shared" si="25"/>
        <v>0</v>
      </c>
      <c r="BQ25" s="168">
        <f>I25+U25+AG25+AS25+BE25</f>
        <v>0</v>
      </c>
      <c r="BR25" s="168">
        <f>J25+V25+AH25+AT25+BF25</f>
        <v>0</v>
      </c>
      <c r="BS25" s="168">
        <f>BQ25+BR25</f>
        <v>0</v>
      </c>
      <c r="BT25" s="168">
        <f>L25+X25+AJ25+AV25+BH25</f>
        <v>0</v>
      </c>
      <c r="BU25" s="168">
        <f>M25+Y25+AK25+AW25+BI25</f>
        <v>0</v>
      </c>
      <c r="BV25" s="168">
        <f>BT25+BU25</f>
        <v>0</v>
      </c>
      <c r="BW25" s="208">
        <f t="shared" si="32"/>
        <v>0</v>
      </c>
      <c r="BX25" s="208">
        <f t="shared" si="33"/>
        <v>0</v>
      </c>
      <c r="BY25" s="208">
        <f t="shared" si="34"/>
        <v>0</v>
      </c>
    </row>
    <row r="26" spans="1:77" ht="16.350000000000001" customHeight="1">
      <c r="A26" s="169">
        <v>19</v>
      </c>
      <c r="B26" s="229" t="s">
        <v>54</v>
      </c>
      <c r="C26" s="175"/>
      <c r="D26" s="220"/>
      <c r="E26" s="175">
        <f t="shared" si="35"/>
        <v>0</v>
      </c>
      <c r="F26" s="175"/>
      <c r="G26" s="220"/>
      <c r="H26" s="211">
        <f t="shared" si="36"/>
        <v>0</v>
      </c>
      <c r="I26" s="175"/>
      <c r="J26" s="175"/>
      <c r="K26" s="175">
        <f t="shared" si="37"/>
        <v>0</v>
      </c>
      <c r="L26" s="212"/>
      <c r="M26" s="220"/>
      <c r="N26" s="175">
        <f t="shared" si="38"/>
        <v>0</v>
      </c>
      <c r="O26" s="175"/>
      <c r="P26" s="220"/>
      <c r="Q26" s="175">
        <f t="shared" si="39"/>
        <v>0</v>
      </c>
      <c r="R26" s="175"/>
      <c r="S26" s="220"/>
      <c r="T26" s="211">
        <f t="shared" si="40"/>
        <v>0</v>
      </c>
      <c r="U26" s="175"/>
      <c r="V26" s="220"/>
      <c r="W26" s="175">
        <f t="shared" si="41"/>
        <v>0</v>
      </c>
      <c r="X26" s="175"/>
      <c r="Y26" s="220"/>
      <c r="Z26" s="175">
        <f t="shared" si="42"/>
        <v>0</v>
      </c>
      <c r="AA26" s="175"/>
      <c r="AB26" s="220"/>
      <c r="AC26" s="175">
        <f t="shared" si="43"/>
        <v>0</v>
      </c>
      <c r="AD26" s="175"/>
      <c r="AE26" s="220"/>
      <c r="AF26" s="211">
        <f t="shared" si="44"/>
        <v>0</v>
      </c>
      <c r="AG26" s="175"/>
      <c r="AH26" s="220"/>
      <c r="AI26" s="175">
        <f t="shared" si="45"/>
        <v>0</v>
      </c>
      <c r="AJ26" s="175"/>
      <c r="AK26" s="220"/>
      <c r="AL26" s="175">
        <f t="shared" si="46"/>
        <v>0</v>
      </c>
      <c r="AM26" s="175"/>
      <c r="AN26" s="220"/>
      <c r="AO26" s="175">
        <f t="shared" si="47"/>
        <v>0</v>
      </c>
      <c r="AP26" s="175"/>
      <c r="AQ26" s="220"/>
      <c r="AR26" s="211">
        <f t="shared" si="48"/>
        <v>0</v>
      </c>
      <c r="AS26" s="175"/>
      <c r="AT26" s="220"/>
      <c r="AU26" s="175">
        <f t="shared" si="49"/>
        <v>0</v>
      </c>
      <c r="AV26" s="175"/>
      <c r="AW26" s="220"/>
      <c r="AX26" s="175">
        <f t="shared" si="50"/>
        <v>0</v>
      </c>
      <c r="AY26" s="175"/>
      <c r="AZ26" s="220"/>
      <c r="BA26" s="175">
        <f t="shared" si="51"/>
        <v>0</v>
      </c>
      <c r="BB26" s="175"/>
      <c r="BC26" s="220"/>
      <c r="BD26" s="211">
        <f t="shared" si="52"/>
        <v>0</v>
      </c>
      <c r="BE26" s="175"/>
      <c r="BF26" s="220"/>
      <c r="BG26" s="175">
        <f t="shared" si="53"/>
        <v>0</v>
      </c>
      <c r="BH26" s="175"/>
      <c r="BI26" s="220"/>
      <c r="BJ26" s="175">
        <f t="shared" si="54"/>
        <v>0</v>
      </c>
      <c r="BK26" s="168">
        <f t="shared" si="20"/>
        <v>0</v>
      </c>
      <c r="BL26" s="168">
        <f t="shared" si="21"/>
        <v>0</v>
      </c>
      <c r="BM26" s="168">
        <f t="shared" si="22"/>
        <v>0</v>
      </c>
      <c r="BN26" s="168">
        <f t="shared" si="23"/>
        <v>0</v>
      </c>
      <c r="BO26" s="168">
        <f t="shared" si="24"/>
        <v>0</v>
      </c>
      <c r="BP26" s="209">
        <f t="shared" si="25"/>
        <v>0</v>
      </c>
      <c r="BQ26" s="168">
        <v>0</v>
      </c>
      <c r="BR26" s="168">
        <v>0</v>
      </c>
      <c r="BS26" s="168">
        <v>0</v>
      </c>
      <c r="BT26" s="168">
        <v>0</v>
      </c>
      <c r="BU26" s="168">
        <v>0</v>
      </c>
      <c r="BV26" s="168">
        <v>0</v>
      </c>
      <c r="BW26" s="208">
        <f t="shared" si="32"/>
        <v>0</v>
      </c>
      <c r="BX26" s="208">
        <f t="shared" si="33"/>
        <v>0</v>
      </c>
      <c r="BY26" s="208">
        <f t="shared" si="34"/>
        <v>0</v>
      </c>
    </row>
    <row r="27" spans="1:77" ht="16.350000000000001" customHeight="1">
      <c r="A27" s="169">
        <v>20</v>
      </c>
      <c r="B27" s="229" t="s">
        <v>55</v>
      </c>
      <c r="C27" s="216"/>
      <c r="D27" s="217"/>
      <c r="E27" s="216">
        <f t="shared" si="35"/>
        <v>0</v>
      </c>
      <c r="F27" s="216"/>
      <c r="G27" s="217"/>
      <c r="H27" s="218">
        <f t="shared" si="36"/>
        <v>0</v>
      </c>
      <c r="I27" s="216"/>
      <c r="J27" s="216"/>
      <c r="K27" s="216">
        <f t="shared" si="37"/>
        <v>0</v>
      </c>
      <c r="L27" s="219"/>
      <c r="M27" s="217"/>
      <c r="N27" s="216">
        <f t="shared" si="38"/>
        <v>0</v>
      </c>
      <c r="O27" s="216"/>
      <c r="P27" s="217"/>
      <c r="Q27" s="216">
        <f t="shared" si="39"/>
        <v>0</v>
      </c>
      <c r="R27" s="216"/>
      <c r="S27" s="217"/>
      <c r="T27" s="218">
        <f t="shared" si="40"/>
        <v>0</v>
      </c>
      <c r="U27" s="216"/>
      <c r="V27" s="217"/>
      <c r="W27" s="216">
        <f t="shared" si="41"/>
        <v>0</v>
      </c>
      <c r="X27" s="216"/>
      <c r="Y27" s="217"/>
      <c r="Z27" s="216">
        <f t="shared" si="42"/>
        <v>0</v>
      </c>
      <c r="AA27" s="216"/>
      <c r="AB27" s="217"/>
      <c r="AC27" s="216">
        <f t="shared" si="43"/>
        <v>0</v>
      </c>
      <c r="AD27" s="216"/>
      <c r="AE27" s="217"/>
      <c r="AF27" s="218">
        <f t="shared" si="44"/>
        <v>0</v>
      </c>
      <c r="AG27" s="216"/>
      <c r="AH27" s="217"/>
      <c r="AI27" s="216">
        <f t="shared" si="45"/>
        <v>0</v>
      </c>
      <c r="AJ27" s="216"/>
      <c r="AK27" s="217"/>
      <c r="AL27" s="216">
        <f t="shared" si="46"/>
        <v>0</v>
      </c>
      <c r="AM27" s="216"/>
      <c r="AN27" s="217"/>
      <c r="AO27" s="216">
        <f t="shared" si="47"/>
        <v>0</v>
      </c>
      <c r="AP27" s="216"/>
      <c r="AQ27" s="217"/>
      <c r="AR27" s="218">
        <f t="shared" si="48"/>
        <v>0</v>
      </c>
      <c r="AS27" s="216"/>
      <c r="AT27" s="217"/>
      <c r="AU27" s="216">
        <f t="shared" si="49"/>
        <v>0</v>
      </c>
      <c r="AV27" s="216"/>
      <c r="AW27" s="217"/>
      <c r="AX27" s="216">
        <f t="shared" si="50"/>
        <v>0</v>
      </c>
      <c r="AY27" s="216"/>
      <c r="AZ27" s="217"/>
      <c r="BA27" s="216">
        <f t="shared" si="51"/>
        <v>0</v>
      </c>
      <c r="BB27" s="216"/>
      <c r="BC27" s="217"/>
      <c r="BD27" s="218">
        <f t="shared" si="52"/>
        <v>0</v>
      </c>
      <c r="BE27" s="216"/>
      <c r="BF27" s="217"/>
      <c r="BG27" s="216">
        <f t="shared" si="53"/>
        <v>0</v>
      </c>
      <c r="BH27" s="216"/>
      <c r="BI27" s="217"/>
      <c r="BJ27" s="216">
        <f t="shared" si="54"/>
        <v>0</v>
      </c>
      <c r="BK27" s="168">
        <f t="shared" si="20"/>
        <v>0</v>
      </c>
      <c r="BL27" s="168">
        <f t="shared" si="21"/>
        <v>0</v>
      </c>
      <c r="BM27" s="168">
        <f t="shared" si="22"/>
        <v>0</v>
      </c>
      <c r="BN27" s="168">
        <f t="shared" si="23"/>
        <v>0</v>
      </c>
      <c r="BO27" s="168">
        <f t="shared" si="24"/>
        <v>0</v>
      </c>
      <c r="BP27" s="209">
        <f t="shared" si="25"/>
        <v>0</v>
      </c>
      <c r="BQ27" s="168">
        <v>0</v>
      </c>
      <c r="BR27" s="168">
        <v>0</v>
      </c>
      <c r="BS27" s="168">
        <v>0</v>
      </c>
      <c r="BT27" s="168">
        <v>0</v>
      </c>
      <c r="BU27" s="168">
        <v>0</v>
      </c>
      <c r="BV27" s="168">
        <v>0</v>
      </c>
      <c r="BW27" s="208">
        <f t="shared" si="32"/>
        <v>0</v>
      </c>
      <c r="BX27" s="208">
        <f t="shared" si="33"/>
        <v>0</v>
      </c>
      <c r="BY27" s="208">
        <f t="shared" si="34"/>
        <v>0</v>
      </c>
    </row>
    <row r="28" spans="1:77" ht="16.350000000000001" customHeight="1">
      <c r="A28" s="169">
        <v>21</v>
      </c>
      <c r="B28" s="229" t="s">
        <v>56</v>
      </c>
      <c r="C28" s="175"/>
      <c r="D28" s="175"/>
      <c r="E28" s="175">
        <f t="shared" si="35"/>
        <v>0</v>
      </c>
      <c r="F28" s="175"/>
      <c r="G28" s="175"/>
      <c r="H28" s="211">
        <f t="shared" si="36"/>
        <v>0</v>
      </c>
      <c r="I28" s="175"/>
      <c r="J28" s="175"/>
      <c r="K28" s="175">
        <f t="shared" si="37"/>
        <v>0</v>
      </c>
      <c r="L28" s="212"/>
      <c r="M28" s="175"/>
      <c r="N28" s="175">
        <f t="shared" si="38"/>
        <v>0</v>
      </c>
      <c r="O28" s="175"/>
      <c r="P28" s="175"/>
      <c r="Q28" s="175">
        <f t="shared" si="39"/>
        <v>0</v>
      </c>
      <c r="R28" s="175"/>
      <c r="S28" s="175"/>
      <c r="T28" s="211">
        <f t="shared" si="40"/>
        <v>0</v>
      </c>
      <c r="U28" s="175"/>
      <c r="V28" s="175"/>
      <c r="W28" s="175">
        <f t="shared" si="41"/>
        <v>0</v>
      </c>
      <c r="X28" s="175"/>
      <c r="Y28" s="175"/>
      <c r="Z28" s="175">
        <f t="shared" si="42"/>
        <v>0</v>
      </c>
      <c r="AA28" s="175"/>
      <c r="AB28" s="175"/>
      <c r="AC28" s="175">
        <f t="shared" si="43"/>
        <v>0</v>
      </c>
      <c r="AD28" s="175"/>
      <c r="AE28" s="175"/>
      <c r="AF28" s="211">
        <f t="shared" si="44"/>
        <v>0</v>
      </c>
      <c r="AG28" s="175"/>
      <c r="AH28" s="175"/>
      <c r="AI28" s="175">
        <f t="shared" si="45"/>
        <v>0</v>
      </c>
      <c r="AJ28" s="175"/>
      <c r="AK28" s="175"/>
      <c r="AL28" s="175">
        <f t="shared" si="46"/>
        <v>0</v>
      </c>
      <c r="AM28" s="175"/>
      <c r="AN28" s="175"/>
      <c r="AO28" s="175">
        <f t="shared" si="47"/>
        <v>0</v>
      </c>
      <c r="AP28" s="175"/>
      <c r="AQ28" s="175"/>
      <c r="AR28" s="211">
        <f t="shared" si="48"/>
        <v>0</v>
      </c>
      <c r="AS28" s="175"/>
      <c r="AT28" s="175"/>
      <c r="AU28" s="175">
        <f t="shared" si="49"/>
        <v>0</v>
      </c>
      <c r="AV28" s="175"/>
      <c r="AW28" s="175"/>
      <c r="AX28" s="175">
        <f t="shared" si="50"/>
        <v>0</v>
      </c>
      <c r="AY28" s="175"/>
      <c r="AZ28" s="175"/>
      <c r="BA28" s="175">
        <f t="shared" si="51"/>
        <v>0</v>
      </c>
      <c r="BB28" s="175"/>
      <c r="BC28" s="175"/>
      <c r="BD28" s="211">
        <f t="shared" si="52"/>
        <v>0</v>
      </c>
      <c r="BE28" s="175"/>
      <c r="BF28" s="175"/>
      <c r="BG28" s="175">
        <f t="shared" si="53"/>
        <v>0</v>
      </c>
      <c r="BH28" s="175"/>
      <c r="BI28" s="175"/>
      <c r="BJ28" s="175">
        <f t="shared" si="54"/>
        <v>0</v>
      </c>
      <c r="BK28" s="168">
        <f t="shared" si="20"/>
        <v>0</v>
      </c>
      <c r="BL28" s="168">
        <f t="shared" si="21"/>
        <v>0</v>
      </c>
      <c r="BM28" s="168">
        <f t="shared" si="22"/>
        <v>0</v>
      </c>
      <c r="BN28" s="168">
        <f t="shared" si="23"/>
        <v>0</v>
      </c>
      <c r="BO28" s="168">
        <f t="shared" si="24"/>
        <v>0</v>
      </c>
      <c r="BP28" s="209">
        <f t="shared" si="25"/>
        <v>0</v>
      </c>
      <c r="BQ28" s="168">
        <f t="shared" ref="BQ28:BR32" si="55">I28+U28+AG28+AS28+BE28</f>
        <v>0</v>
      </c>
      <c r="BR28" s="168">
        <f t="shared" si="55"/>
        <v>0</v>
      </c>
      <c r="BS28" s="168">
        <f>BQ28+BR28</f>
        <v>0</v>
      </c>
      <c r="BT28" s="168">
        <f t="shared" ref="BT28:BU32" si="56">L28+X28+AJ28+AV28+BH28</f>
        <v>0</v>
      </c>
      <c r="BU28" s="168">
        <f t="shared" si="56"/>
        <v>0</v>
      </c>
      <c r="BV28" s="168">
        <f>BT28+BU28</f>
        <v>0</v>
      </c>
      <c r="BW28" s="208">
        <f t="shared" si="32"/>
        <v>0</v>
      </c>
      <c r="BX28" s="208">
        <f t="shared" si="33"/>
        <v>0</v>
      </c>
      <c r="BY28" s="208">
        <f t="shared" si="34"/>
        <v>0</v>
      </c>
    </row>
    <row r="29" spans="1:77" ht="16.350000000000001" customHeight="1">
      <c r="A29" s="169">
        <v>22</v>
      </c>
      <c r="B29" s="229" t="s">
        <v>32</v>
      </c>
      <c r="C29" s="175"/>
      <c r="D29" s="175"/>
      <c r="E29" s="175">
        <f t="shared" si="35"/>
        <v>0</v>
      </c>
      <c r="F29" s="175"/>
      <c r="G29" s="175"/>
      <c r="H29" s="211">
        <f t="shared" si="36"/>
        <v>0</v>
      </c>
      <c r="I29" s="175"/>
      <c r="J29" s="175"/>
      <c r="K29" s="175">
        <f t="shared" si="37"/>
        <v>0</v>
      </c>
      <c r="L29" s="212"/>
      <c r="M29" s="175"/>
      <c r="N29" s="175">
        <f t="shared" si="38"/>
        <v>0</v>
      </c>
      <c r="O29" s="175"/>
      <c r="P29" s="175"/>
      <c r="Q29" s="175">
        <f t="shared" si="39"/>
        <v>0</v>
      </c>
      <c r="R29" s="175"/>
      <c r="S29" s="175"/>
      <c r="T29" s="211">
        <f t="shared" si="40"/>
        <v>0</v>
      </c>
      <c r="U29" s="175"/>
      <c r="V29" s="175"/>
      <c r="W29" s="175">
        <f t="shared" si="41"/>
        <v>0</v>
      </c>
      <c r="X29" s="175"/>
      <c r="Y29" s="175"/>
      <c r="Z29" s="175">
        <f t="shared" si="42"/>
        <v>0</v>
      </c>
      <c r="AA29" s="175"/>
      <c r="AB29" s="175"/>
      <c r="AC29" s="175">
        <f t="shared" si="43"/>
        <v>0</v>
      </c>
      <c r="AD29" s="175"/>
      <c r="AE29" s="175"/>
      <c r="AF29" s="211">
        <f t="shared" si="44"/>
        <v>0</v>
      </c>
      <c r="AG29" s="175"/>
      <c r="AH29" s="175"/>
      <c r="AI29" s="175">
        <f t="shared" si="45"/>
        <v>0</v>
      </c>
      <c r="AJ29" s="175"/>
      <c r="AK29" s="175"/>
      <c r="AL29" s="175">
        <f t="shared" si="46"/>
        <v>0</v>
      </c>
      <c r="AM29" s="175"/>
      <c r="AN29" s="175"/>
      <c r="AO29" s="175">
        <f t="shared" si="47"/>
        <v>0</v>
      </c>
      <c r="AP29" s="175"/>
      <c r="AQ29" s="175"/>
      <c r="AR29" s="211">
        <f t="shared" si="48"/>
        <v>0</v>
      </c>
      <c r="AS29" s="175"/>
      <c r="AT29" s="175"/>
      <c r="AU29" s="175">
        <f t="shared" si="49"/>
        <v>0</v>
      </c>
      <c r="AV29" s="175"/>
      <c r="AW29" s="175"/>
      <c r="AX29" s="175">
        <f t="shared" si="50"/>
        <v>0</v>
      </c>
      <c r="AY29" s="175"/>
      <c r="AZ29" s="175"/>
      <c r="BA29" s="175">
        <f t="shared" si="51"/>
        <v>0</v>
      </c>
      <c r="BB29" s="175"/>
      <c r="BC29" s="175"/>
      <c r="BD29" s="211">
        <f t="shared" si="52"/>
        <v>0</v>
      </c>
      <c r="BE29" s="175"/>
      <c r="BF29" s="175"/>
      <c r="BG29" s="175">
        <f t="shared" si="53"/>
        <v>0</v>
      </c>
      <c r="BH29" s="175"/>
      <c r="BI29" s="175"/>
      <c r="BJ29" s="175">
        <f t="shared" si="54"/>
        <v>0</v>
      </c>
      <c r="BK29" s="168">
        <f t="shared" si="20"/>
        <v>0</v>
      </c>
      <c r="BL29" s="168">
        <f t="shared" si="21"/>
        <v>0</v>
      </c>
      <c r="BM29" s="168">
        <f t="shared" si="22"/>
        <v>0</v>
      </c>
      <c r="BN29" s="168">
        <f t="shared" si="23"/>
        <v>0</v>
      </c>
      <c r="BO29" s="168">
        <f t="shared" si="24"/>
        <v>0</v>
      </c>
      <c r="BP29" s="209">
        <f t="shared" si="25"/>
        <v>0</v>
      </c>
      <c r="BQ29" s="168">
        <f t="shared" si="55"/>
        <v>0</v>
      </c>
      <c r="BR29" s="168">
        <f t="shared" si="55"/>
        <v>0</v>
      </c>
      <c r="BS29" s="168">
        <f>BQ29+BR29</f>
        <v>0</v>
      </c>
      <c r="BT29" s="168">
        <f t="shared" si="56"/>
        <v>0</v>
      </c>
      <c r="BU29" s="168">
        <f t="shared" si="56"/>
        <v>0</v>
      </c>
      <c r="BV29" s="168">
        <f>BT29+BU29</f>
        <v>0</v>
      </c>
      <c r="BW29" s="208">
        <f t="shared" si="32"/>
        <v>0</v>
      </c>
      <c r="BX29" s="208">
        <f t="shared" si="33"/>
        <v>0</v>
      </c>
      <c r="BY29" s="208">
        <f t="shared" si="34"/>
        <v>0</v>
      </c>
    </row>
    <row r="30" spans="1:77" ht="16.350000000000001" customHeight="1">
      <c r="A30" s="169">
        <v>23</v>
      </c>
      <c r="B30" s="229" t="s">
        <v>33</v>
      </c>
      <c r="C30" s="175"/>
      <c r="D30" s="175"/>
      <c r="E30" s="175">
        <f t="shared" si="35"/>
        <v>0</v>
      </c>
      <c r="F30" s="175"/>
      <c r="G30" s="175"/>
      <c r="H30" s="211">
        <f t="shared" si="36"/>
        <v>0</v>
      </c>
      <c r="I30" s="175"/>
      <c r="J30" s="175"/>
      <c r="K30" s="175">
        <f t="shared" si="37"/>
        <v>0</v>
      </c>
      <c r="L30" s="212"/>
      <c r="M30" s="175"/>
      <c r="N30" s="175">
        <f t="shared" si="38"/>
        <v>0</v>
      </c>
      <c r="O30" s="175"/>
      <c r="P30" s="175"/>
      <c r="Q30" s="175">
        <f t="shared" si="39"/>
        <v>0</v>
      </c>
      <c r="R30" s="175"/>
      <c r="S30" s="175"/>
      <c r="T30" s="211">
        <f t="shared" si="40"/>
        <v>0</v>
      </c>
      <c r="U30" s="175"/>
      <c r="V30" s="175"/>
      <c r="W30" s="175">
        <f t="shared" si="41"/>
        <v>0</v>
      </c>
      <c r="X30" s="175"/>
      <c r="Y30" s="175"/>
      <c r="Z30" s="175">
        <f t="shared" si="42"/>
        <v>0</v>
      </c>
      <c r="AA30" s="175"/>
      <c r="AB30" s="175"/>
      <c r="AC30" s="175">
        <f t="shared" si="43"/>
        <v>0</v>
      </c>
      <c r="AD30" s="175"/>
      <c r="AE30" s="175"/>
      <c r="AF30" s="211">
        <f t="shared" si="44"/>
        <v>0</v>
      </c>
      <c r="AG30" s="175"/>
      <c r="AH30" s="175"/>
      <c r="AI30" s="175">
        <f t="shared" si="45"/>
        <v>0</v>
      </c>
      <c r="AJ30" s="175"/>
      <c r="AK30" s="175"/>
      <c r="AL30" s="175">
        <f t="shared" si="46"/>
        <v>0</v>
      </c>
      <c r="AM30" s="175"/>
      <c r="AN30" s="175"/>
      <c r="AO30" s="175">
        <f t="shared" si="47"/>
        <v>0</v>
      </c>
      <c r="AP30" s="175"/>
      <c r="AQ30" s="175"/>
      <c r="AR30" s="211">
        <f t="shared" si="48"/>
        <v>0</v>
      </c>
      <c r="AS30" s="175"/>
      <c r="AT30" s="175"/>
      <c r="AU30" s="175">
        <f t="shared" si="49"/>
        <v>0</v>
      </c>
      <c r="AV30" s="175"/>
      <c r="AW30" s="175"/>
      <c r="AX30" s="175">
        <f t="shared" si="50"/>
        <v>0</v>
      </c>
      <c r="AY30" s="175"/>
      <c r="AZ30" s="175"/>
      <c r="BA30" s="175">
        <f t="shared" si="51"/>
        <v>0</v>
      </c>
      <c r="BB30" s="175"/>
      <c r="BC30" s="175"/>
      <c r="BD30" s="211">
        <f t="shared" si="52"/>
        <v>0</v>
      </c>
      <c r="BE30" s="175"/>
      <c r="BF30" s="175"/>
      <c r="BG30" s="175">
        <f t="shared" si="53"/>
        <v>0</v>
      </c>
      <c r="BH30" s="175"/>
      <c r="BI30" s="175"/>
      <c r="BJ30" s="175">
        <f t="shared" si="54"/>
        <v>0</v>
      </c>
      <c r="BK30" s="168">
        <f t="shared" si="20"/>
        <v>0</v>
      </c>
      <c r="BL30" s="168">
        <f t="shared" si="21"/>
        <v>0</v>
      </c>
      <c r="BM30" s="168">
        <f t="shared" si="22"/>
        <v>0</v>
      </c>
      <c r="BN30" s="168">
        <f t="shared" si="23"/>
        <v>0</v>
      </c>
      <c r="BO30" s="168">
        <f t="shared" si="24"/>
        <v>0</v>
      </c>
      <c r="BP30" s="209">
        <f t="shared" si="25"/>
        <v>0</v>
      </c>
      <c r="BQ30" s="168">
        <f t="shared" si="55"/>
        <v>0</v>
      </c>
      <c r="BR30" s="168">
        <f t="shared" si="55"/>
        <v>0</v>
      </c>
      <c r="BS30" s="168">
        <f>BQ30+BR30</f>
        <v>0</v>
      </c>
      <c r="BT30" s="168">
        <f t="shared" si="56"/>
        <v>0</v>
      </c>
      <c r="BU30" s="168">
        <f t="shared" si="56"/>
        <v>0</v>
      </c>
      <c r="BV30" s="168">
        <f>BT30+BU30</f>
        <v>0</v>
      </c>
      <c r="BW30" s="208">
        <f t="shared" si="32"/>
        <v>0</v>
      </c>
      <c r="BX30" s="208">
        <f t="shared" si="33"/>
        <v>0</v>
      </c>
      <c r="BY30" s="208">
        <f t="shared" si="34"/>
        <v>0</v>
      </c>
    </row>
    <row r="31" spans="1:77" ht="16.350000000000001" customHeight="1">
      <c r="A31" s="169">
        <v>24</v>
      </c>
      <c r="B31" s="229" t="s">
        <v>181</v>
      </c>
      <c r="C31" s="175"/>
      <c r="D31" s="175"/>
      <c r="E31" s="175">
        <f t="shared" si="35"/>
        <v>0</v>
      </c>
      <c r="F31" s="175"/>
      <c r="G31" s="175"/>
      <c r="H31" s="211">
        <f t="shared" si="36"/>
        <v>0</v>
      </c>
      <c r="I31" s="175"/>
      <c r="J31" s="175"/>
      <c r="K31" s="175">
        <f t="shared" si="37"/>
        <v>0</v>
      </c>
      <c r="L31" s="212"/>
      <c r="M31" s="175"/>
      <c r="N31" s="175">
        <f t="shared" si="38"/>
        <v>0</v>
      </c>
      <c r="O31" s="175"/>
      <c r="P31" s="175"/>
      <c r="Q31" s="175">
        <f t="shared" si="39"/>
        <v>0</v>
      </c>
      <c r="R31" s="175"/>
      <c r="S31" s="175"/>
      <c r="T31" s="211">
        <f t="shared" si="40"/>
        <v>0</v>
      </c>
      <c r="U31" s="175"/>
      <c r="V31" s="175"/>
      <c r="W31" s="175">
        <f t="shared" si="41"/>
        <v>0</v>
      </c>
      <c r="X31" s="175"/>
      <c r="Y31" s="175"/>
      <c r="Z31" s="175">
        <f t="shared" si="42"/>
        <v>0</v>
      </c>
      <c r="AA31" s="175"/>
      <c r="AB31" s="175"/>
      <c r="AC31" s="175">
        <f t="shared" si="43"/>
        <v>0</v>
      </c>
      <c r="AD31" s="175"/>
      <c r="AE31" s="175"/>
      <c r="AF31" s="211">
        <f t="shared" si="44"/>
        <v>0</v>
      </c>
      <c r="AG31" s="175"/>
      <c r="AH31" s="175"/>
      <c r="AI31" s="175">
        <f t="shared" si="45"/>
        <v>0</v>
      </c>
      <c r="AJ31" s="175"/>
      <c r="AK31" s="175"/>
      <c r="AL31" s="175">
        <f t="shared" si="46"/>
        <v>0</v>
      </c>
      <c r="AM31" s="175"/>
      <c r="AN31" s="175"/>
      <c r="AO31" s="175">
        <f t="shared" si="47"/>
        <v>0</v>
      </c>
      <c r="AP31" s="175"/>
      <c r="AQ31" s="175"/>
      <c r="AR31" s="211">
        <f t="shared" si="48"/>
        <v>0</v>
      </c>
      <c r="AS31" s="175"/>
      <c r="AT31" s="175"/>
      <c r="AU31" s="175">
        <f t="shared" si="49"/>
        <v>0</v>
      </c>
      <c r="AV31" s="175"/>
      <c r="AW31" s="175"/>
      <c r="AX31" s="175">
        <f t="shared" si="50"/>
        <v>0</v>
      </c>
      <c r="AY31" s="175"/>
      <c r="AZ31" s="175"/>
      <c r="BA31" s="175">
        <f t="shared" si="51"/>
        <v>0</v>
      </c>
      <c r="BB31" s="175"/>
      <c r="BC31" s="175"/>
      <c r="BD31" s="211">
        <f t="shared" si="52"/>
        <v>0</v>
      </c>
      <c r="BE31" s="175"/>
      <c r="BF31" s="175"/>
      <c r="BG31" s="175">
        <f t="shared" si="53"/>
        <v>0</v>
      </c>
      <c r="BH31" s="175"/>
      <c r="BI31" s="175"/>
      <c r="BJ31" s="175">
        <f t="shared" si="54"/>
        <v>0</v>
      </c>
      <c r="BK31" s="168">
        <f t="shared" si="20"/>
        <v>0</v>
      </c>
      <c r="BL31" s="168">
        <f t="shared" si="21"/>
        <v>0</v>
      </c>
      <c r="BM31" s="168">
        <f t="shared" si="22"/>
        <v>0</v>
      </c>
      <c r="BN31" s="168">
        <f t="shared" si="23"/>
        <v>0</v>
      </c>
      <c r="BO31" s="168">
        <f t="shared" si="24"/>
        <v>0</v>
      </c>
      <c r="BP31" s="209">
        <f t="shared" si="25"/>
        <v>0</v>
      </c>
      <c r="BQ31" s="168">
        <f t="shared" si="55"/>
        <v>0</v>
      </c>
      <c r="BR31" s="168">
        <f t="shared" si="55"/>
        <v>0</v>
      </c>
      <c r="BS31" s="168">
        <f>BQ31+BR31</f>
        <v>0</v>
      </c>
      <c r="BT31" s="168">
        <f t="shared" si="56"/>
        <v>0</v>
      </c>
      <c r="BU31" s="168">
        <f t="shared" si="56"/>
        <v>0</v>
      </c>
      <c r="BV31" s="168">
        <f>BT31+BU31</f>
        <v>0</v>
      </c>
      <c r="BW31" s="208">
        <f t="shared" si="32"/>
        <v>0</v>
      </c>
      <c r="BX31" s="208">
        <f t="shared" si="33"/>
        <v>0</v>
      </c>
      <c r="BY31" s="208">
        <f t="shared" si="34"/>
        <v>0</v>
      </c>
    </row>
    <row r="32" spans="1:77" ht="16.350000000000001" customHeight="1">
      <c r="A32" s="169">
        <v>25</v>
      </c>
      <c r="B32" s="229" t="s">
        <v>35</v>
      </c>
      <c r="C32" s="158"/>
      <c r="D32" s="175"/>
      <c r="E32" s="175">
        <f t="shared" si="35"/>
        <v>0</v>
      </c>
      <c r="F32" s="175"/>
      <c r="G32" s="175"/>
      <c r="H32" s="211">
        <f t="shared" si="36"/>
        <v>0</v>
      </c>
      <c r="I32" s="175"/>
      <c r="J32" s="175"/>
      <c r="K32" s="175">
        <f t="shared" si="37"/>
        <v>0</v>
      </c>
      <c r="L32" s="212"/>
      <c r="M32" s="175"/>
      <c r="N32" s="175">
        <f t="shared" si="38"/>
        <v>0</v>
      </c>
      <c r="O32" s="175"/>
      <c r="P32" s="175"/>
      <c r="Q32" s="175">
        <f t="shared" si="39"/>
        <v>0</v>
      </c>
      <c r="R32" s="175"/>
      <c r="S32" s="175"/>
      <c r="T32" s="211">
        <f t="shared" si="40"/>
        <v>0</v>
      </c>
      <c r="U32" s="175"/>
      <c r="V32" s="175"/>
      <c r="W32" s="175">
        <f t="shared" si="41"/>
        <v>0</v>
      </c>
      <c r="X32" s="175"/>
      <c r="Y32" s="175"/>
      <c r="Z32" s="175">
        <f t="shared" si="42"/>
        <v>0</v>
      </c>
      <c r="AA32" s="175"/>
      <c r="AB32" s="175"/>
      <c r="AC32" s="175">
        <f t="shared" si="43"/>
        <v>0</v>
      </c>
      <c r="AD32" s="175"/>
      <c r="AE32" s="175"/>
      <c r="AF32" s="211">
        <f t="shared" si="44"/>
        <v>0</v>
      </c>
      <c r="AG32" s="175"/>
      <c r="AH32" s="175"/>
      <c r="AI32" s="175">
        <f t="shared" si="45"/>
        <v>0</v>
      </c>
      <c r="AJ32" s="175"/>
      <c r="AK32" s="175"/>
      <c r="AL32" s="175">
        <f t="shared" si="46"/>
        <v>0</v>
      </c>
      <c r="AM32" s="175"/>
      <c r="AN32" s="175"/>
      <c r="AO32" s="175">
        <f t="shared" si="47"/>
        <v>0</v>
      </c>
      <c r="AP32" s="175"/>
      <c r="AQ32" s="175"/>
      <c r="AR32" s="211">
        <f t="shared" si="48"/>
        <v>0</v>
      </c>
      <c r="AS32" s="175"/>
      <c r="AT32" s="175"/>
      <c r="AU32" s="175">
        <f t="shared" si="49"/>
        <v>0</v>
      </c>
      <c r="AV32" s="175"/>
      <c r="AW32" s="175"/>
      <c r="AX32" s="175">
        <f t="shared" si="50"/>
        <v>0</v>
      </c>
      <c r="AY32" s="175"/>
      <c r="AZ32" s="175"/>
      <c r="BA32" s="175">
        <f t="shared" si="51"/>
        <v>0</v>
      </c>
      <c r="BB32" s="175"/>
      <c r="BC32" s="175"/>
      <c r="BD32" s="211">
        <f t="shared" si="52"/>
        <v>0</v>
      </c>
      <c r="BE32" s="175"/>
      <c r="BF32" s="175"/>
      <c r="BG32" s="175">
        <f t="shared" si="53"/>
        <v>0</v>
      </c>
      <c r="BH32" s="175"/>
      <c r="BI32" s="175"/>
      <c r="BJ32" s="175">
        <f t="shared" si="54"/>
        <v>0</v>
      </c>
      <c r="BK32" s="168">
        <f t="shared" si="20"/>
        <v>0</v>
      </c>
      <c r="BL32" s="168">
        <f t="shared" si="21"/>
        <v>0</v>
      </c>
      <c r="BM32" s="168">
        <f t="shared" si="22"/>
        <v>0</v>
      </c>
      <c r="BN32" s="168">
        <f t="shared" si="23"/>
        <v>0</v>
      </c>
      <c r="BO32" s="168">
        <f t="shared" si="24"/>
        <v>0</v>
      </c>
      <c r="BP32" s="209">
        <f t="shared" si="25"/>
        <v>0</v>
      </c>
      <c r="BQ32" s="168">
        <f t="shared" si="55"/>
        <v>0</v>
      </c>
      <c r="BR32" s="168">
        <f t="shared" si="55"/>
        <v>0</v>
      </c>
      <c r="BS32" s="168">
        <f>BQ32+BR32</f>
        <v>0</v>
      </c>
      <c r="BT32" s="168">
        <f t="shared" si="56"/>
        <v>0</v>
      </c>
      <c r="BU32" s="168">
        <f t="shared" si="56"/>
        <v>0</v>
      </c>
      <c r="BV32" s="168">
        <f>BT32+BU32</f>
        <v>0</v>
      </c>
      <c r="BW32" s="208">
        <f t="shared" si="32"/>
        <v>0</v>
      </c>
      <c r="BX32" s="208">
        <f t="shared" si="33"/>
        <v>0</v>
      </c>
      <c r="BY32" s="208">
        <f t="shared" si="34"/>
        <v>0</v>
      </c>
    </row>
    <row r="33" spans="1:77" ht="16.350000000000001" customHeight="1">
      <c r="A33" s="169">
        <v>26</v>
      </c>
      <c r="B33" s="229" t="s">
        <v>36</v>
      </c>
      <c r="C33" s="175"/>
      <c r="D33" s="175"/>
      <c r="E33" s="175">
        <f t="shared" si="35"/>
        <v>0</v>
      </c>
      <c r="F33" s="175"/>
      <c r="G33" s="175"/>
      <c r="H33" s="211">
        <f t="shared" si="36"/>
        <v>0</v>
      </c>
      <c r="I33" s="175"/>
      <c r="J33" s="175"/>
      <c r="K33" s="175">
        <f t="shared" si="37"/>
        <v>0</v>
      </c>
      <c r="L33" s="212"/>
      <c r="M33" s="175"/>
      <c r="N33" s="175">
        <f t="shared" si="38"/>
        <v>0</v>
      </c>
      <c r="O33" s="175"/>
      <c r="P33" s="175"/>
      <c r="Q33" s="175">
        <f t="shared" si="39"/>
        <v>0</v>
      </c>
      <c r="R33" s="175"/>
      <c r="S33" s="175"/>
      <c r="T33" s="211">
        <f t="shared" si="40"/>
        <v>0</v>
      </c>
      <c r="U33" s="175"/>
      <c r="V33" s="175"/>
      <c r="W33" s="175">
        <f t="shared" si="41"/>
        <v>0</v>
      </c>
      <c r="X33" s="175"/>
      <c r="Y33" s="175"/>
      <c r="Z33" s="175">
        <f t="shared" si="42"/>
        <v>0</v>
      </c>
      <c r="AA33" s="175"/>
      <c r="AB33" s="175"/>
      <c r="AC33" s="175">
        <f t="shared" si="43"/>
        <v>0</v>
      </c>
      <c r="AD33" s="175"/>
      <c r="AE33" s="175"/>
      <c r="AF33" s="211">
        <f t="shared" si="44"/>
        <v>0</v>
      </c>
      <c r="AG33" s="175"/>
      <c r="AH33" s="175"/>
      <c r="AI33" s="175">
        <f t="shared" si="45"/>
        <v>0</v>
      </c>
      <c r="AJ33" s="175"/>
      <c r="AK33" s="175"/>
      <c r="AL33" s="175">
        <f t="shared" si="46"/>
        <v>0</v>
      </c>
      <c r="AM33" s="175"/>
      <c r="AN33" s="175"/>
      <c r="AO33" s="175">
        <f t="shared" si="47"/>
        <v>0</v>
      </c>
      <c r="AP33" s="175"/>
      <c r="AQ33" s="175"/>
      <c r="AR33" s="211">
        <f t="shared" si="48"/>
        <v>0</v>
      </c>
      <c r="AS33" s="175"/>
      <c r="AT33" s="175"/>
      <c r="AU33" s="175">
        <f t="shared" si="49"/>
        <v>0</v>
      </c>
      <c r="AV33" s="175"/>
      <c r="AW33" s="175"/>
      <c r="AX33" s="175">
        <f t="shared" si="50"/>
        <v>0</v>
      </c>
      <c r="AY33" s="175"/>
      <c r="AZ33" s="175"/>
      <c r="BA33" s="175">
        <f t="shared" si="51"/>
        <v>0</v>
      </c>
      <c r="BB33" s="175"/>
      <c r="BC33" s="175"/>
      <c r="BD33" s="211">
        <f t="shared" si="52"/>
        <v>0</v>
      </c>
      <c r="BE33" s="175"/>
      <c r="BF33" s="175"/>
      <c r="BG33" s="175">
        <f t="shared" si="53"/>
        <v>0</v>
      </c>
      <c r="BH33" s="175"/>
      <c r="BI33" s="175"/>
      <c r="BJ33" s="175">
        <f t="shared" si="54"/>
        <v>0</v>
      </c>
      <c r="BK33" s="168">
        <f t="shared" si="20"/>
        <v>0</v>
      </c>
      <c r="BL33" s="168">
        <f t="shared" si="21"/>
        <v>0</v>
      </c>
      <c r="BM33" s="168">
        <f t="shared" si="22"/>
        <v>0</v>
      </c>
      <c r="BN33" s="168">
        <f t="shared" si="23"/>
        <v>0</v>
      </c>
      <c r="BO33" s="168">
        <f t="shared" si="24"/>
        <v>0</v>
      </c>
      <c r="BP33" s="209">
        <f t="shared" si="25"/>
        <v>0</v>
      </c>
      <c r="BQ33" s="168">
        <v>0</v>
      </c>
      <c r="BR33" s="168">
        <v>0</v>
      </c>
      <c r="BS33" s="168">
        <v>0</v>
      </c>
      <c r="BT33" s="168">
        <v>0</v>
      </c>
      <c r="BU33" s="168">
        <v>0</v>
      </c>
      <c r="BV33" s="168">
        <v>0</v>
      </c>
      <c r="BW33" s="208">
        <f t="shared" si="32"/>
        <v>0</v>
      </c>
      <c r="BX33" s="208">
        <f t="shared" si="33"/>
        <v>0</v>
      </c>
      <c r="BY33" s="208">
        <f t="shared" si="34"/>
        <v>0</v>
      </c>
    </row>
    <row r="34" spans="1:77" ht="16.350000000000001" customHeight="1">
      <c r="A34" s="169">
        <v>27</v>
      </c>
      <c r="B34" s="229" t="s">
        <v>37</v>
      </c>
      <c r="C34" s="175"/>
      <c r="D34" s="175"/>
      <c r="E34" s="175">
        <f t="shared" si="35"/>
        <v>0</v>
      </c>
      <c r="F34" s="175"/>
      <c r="G34" s="175"/>
      <c r="H34" s="211">
        <f t="shared" si="36"/>
        <v>0</v>
      </c>
      <c r="I34" s="175"/>
      <c r="J34" s="175"/>
      <c r="K34" s="175">
        <f t="shared" si="37"/>
        <v>0</v>
      </c>
      <c r="L34" s="212"/>
      <c r="M34" s="175"/>
      <c r="N34" s="175">
        <f t="shared" si="38"/>
        <v>0</v>
      </c>
      <c r="O34" s="175"/>
      <c r="P34" s="175"/>
      <c r="Q34" s="175">
        <f t="shared" si="39"/>
        <v>0</v>
      </c>
      <c r="R34" s="175"/>
      <c r="S34" s="175"/>
      <c r="T34" s="211">
        <f t="shared" si="40"/>
        <v>0</v>
      </c>
      <c r="U34" s="175"/>
      <c r="V34" s="175"/>
      <c r="W34" s="175">
        <f t="shared" si="41"/>
        <v>0</v>
      </c>
      <c r="X34" s="175"/>
      <c r="Y34" s="175"/>
      <c r="Z34" s="175">
        <f t="shared" si="42"/>
        <v>0</v>
      </c>
      <c r="AA34" s="175"/>
      <c r="AB34" s="175"/>
      <c r="AC34" s="175">
        <f t="shared" si="43"/>
        <v>0</v>
      </c>
      <c r="AD34" s="175"/>
      <c r="AE34" s="175"/>
      <c r="AF34" s="211">
        <f t="shared" si="44"/>
        <v>0</v>
      </c>
      <c r="AG34" s="175"/>
      <c r="AH34" s="175"/>
      <c r="AI34" s="175">
        <f t="shared" si="45"/>
        <v>0</v>
      </c>
      <c r="AJ34" s="175"/>
      <c r="AK34" s="175"/>
      <c r="AL34" s="175">
        <f t="shared" si="46"/>
        <v>0</v>
      </c>
      <c r="AM34" s="175"/>
      <c r="AN34" s="175"/>
      <c r="AO34" s="175">
        <f t="shared" si="47"/>
        <v>0</v>
      </c>
      <c r="AP34" s="175"/>
      <c r="AQ34" s="175"/>
      <c r="AR34" s="211">
        <f t="shared" si="48"/>
        <v>0</v>
      </c>
      <c r="AS34" s="175"/>
      <c r="AT34" s="175"/>
      <c r="AU34" s="175">
        <f t="shared" si="49"/>
        <v>0</v>
      </c>
      <c r="AV34" s="175"/>
      <c r="AW34" s="175"/>
      <c r="AX34" s="175">
        <f t="shared" si="50"/>
        <v>0</v>
      </c>
      <c r="AY34" s="175"/>
      <c r="AZ34" s="175"/>
      <c r="BA34" s="175">
        <f t="shared" si="51"/>
        <v>0</v>
      </c>
      <c r="BB34" s="175"/>
      <c r="BC34" s="175"/>
      <c r="BD34" s="211">
        <f t="shared" si="52"/>
        <v>0</v>
      </c>
      <c r="BE34" s="175"/>
      <c r="BF34" s="175"/>
      <c r="BG34" s="175">
        <f t="shared" si="53"/>
        <v>0</v>
      </c>
      <c r="BH34" s="175"/>
      <c r="BI34" s="175"/>
      <c r="BJ34" s="175">
        <f t="shared" si="54"/>
        <v>0</v>
      </c>
      <c r="BK34" s="168">
        <f t="shared" si="20"/>
        <v>0</v>
      </c>
      <c r="BL34" s="168">
        <f t="shared" si="21"/>
        <v>0</v>
      </c>
      <c r="BM34" s="168">
        <f t="shared" si="22"/>
        <v>0</v>
      </c>
      <c r="BN34" s="168">
        <f t="shared" si="23"/>
        <v>0</v>
      </c>
      <c r="BO34" s="168">
        <f t="shared" si="24"/>
        <v>0</v>
      </c>
      <c r="BP34" s="209">
        <f t="shared" si="25"/>
        <v>0</v>
      </c>
      <c r="BQ34" s="168">
        <f t="shared" ref="BQ34:BR37" si="57">I34+U34+AG34+AS34+BE34</f>
        <v>0</v>
      </c>
      <c r="BR34" s="168">
        <f t="shared" si="57"/>
        <v>0</v>
      </c>
      <c r="BS34" s="168">
        <f>BQ34+BR34</f>
        <v>0</v>
      </c>
      <c r="BT34" s="168">
        <f t="shared" ref="BT34:BU37" si="58">L34+X34+AJ34+AV34+BH34</f>
        <v>0</v>
      </c>
      <c r="BU34" s="168">
        <f t="shared" si="58"/>
        <v>0</v>
      </c>
      <c r="BV34" s="168">
        <f>BT34+BU34</f>
        <v>0</v>
      </c>
      <c r="BW34" s="208">
        <f t="shared" si="32"/>
        <v>0</v>
      </c>
      <c r="BX34" s="208">
        <f t="shared" si="33"/>
        <v>0</v>
      </c>
      <c r="BY34" s="208">
        <f t="shared" si="34"/>
        <v>0</v>
      </c>
    </row>
    <row r="35" spans="1:77" ht="16.350000000000001" customHeight="1">
      <c r="A35" s="169">
        <v>28</v>
      </c>
      <c r="B35" s="229" t="s">
        <v>57</v>
      </c>
      <c r="C35" s="175"/>
      <c r="D35" s="175"/>
      <c r="E35" s="175">
        <f t="shared" si="35"/>
        <v>0</v>
      </c>
      <c r="F35" s="175"/>
      <c r="G35" s="175"/>
      <c r="H35" s="211">
        <f t="shared" si="36"/>
        <v>0</v>
      </c>
      <c r="I35" s="175"/>
      <c r="J35" s="175"/>
      <c r="K35" s="175">
        <f t="shared" si="37"/>
        <v>0</v>
      </c>
      <c r="L35" s="212"/>
      <c r="M35" s="175"/>
      <c r="N35" s="175">
        <f t="shared" si="38"/>
        <v>0</v>
      </c>
      <c r="O35" s="175"/>
      <c r="P35" s="175"/>
      <c r="Q35" s="175">
        <f t="shared" si="39"/>
        <v>0</v>
      </c>
      <c r="R35" s="175"/>
      <c r="S35" s="175"/>
      <c r="T35" s="211">
        <f t="shared" si="40"/>
        <v>0</v>
      </c>
      <c r="U35" s="175"/>
      <c r="V35" s="175"/>
      <c r="W35" s="175">
        <f t="shared" si="41"/>
        <v>0</v>
      </c>
      <c r="X35" s="175"/>
      <c r="Y35" s="175"/>
      <c r="Z35" s="175">
        <f t="shared" si="42"/>
        <v>0</v>
      </c>
      <c r="AA35" s="175"/>
      <c r="AB35" s="175"/>
      <c r="AC35" s="175">
        <f t="shared" si="43"/>
        <v>0</v>
      </c>
      <c r="AD35" s="175"/>
      <c r="AE35" s="175"/>
      <c r="AF35" s="211">
        <f t="shared" si="44"/>
        <v>0</v>
      </c>
      <c r="AG35" s="175"/>
      <c r="AH35" s="175"/>
      <c r="AI35" s="175">
        <f t="shared" si="45"/>
        <v>0</v>
      </c>
      <c r="AJ35" s="175"/>
      <c r="AK35" s="175"/>
      <c r="AL35" s="175">
        <f t="shared" si="46"/>
        <v>0</v>
      </c>
      <c r="AM35" s="175"/>
      <c r="AN35" s="175"/>
      <c r="AO35" s="175">
        <f t="shared" si="47"/>
        <v>0</v>
      </c>
      <c r="AP35" s="175"/>
      <c r="AQ35" s="175"/>
      <c r="AR35" s="211">
        <f t="shared" si="48"/>
        <v>0</v>
      </c>
      <c r="AS35" s="175"/>
      <c r="AT35" s="175"/>
      <c r="AU35" s="175">
        <f t="shared" si="49"/>
        <v>0</v>
      </c>
      <c r="AV35" s="175"/>
      <c r="AW35" s="175"/>
      <c r="AX35" s="175">
        <f t="shared" si="50"/>
        <v>0</v>
      </c>
      <c r="AY35" s="175"/>
      <c r="AZ35" s="175"/>
      <c r="BA35" s="175">
        <f t="shared" si="51"/>
        <v>0</v>
      </c>
      <c r="BB35" s="175"/>
      <c r="BC35" s="175"/>
      <c r="BD35" s="211">
        <f t="shared" si="52"/>
        <v>0</v>
      </c>
      <c r="BE35" s="175"/>
      <c r="BF35" s="175"/>
      <c r="BG35" s="175">
        <f t="shared" si="53"/>
        <v>0</v>
      </c>
      <c r="BH35" s="175"/>
      <c r="BI35" s="175"/>
      <c r="BJ35" s="175">
        <f t="shared" si="54"/>
        <v>0</v>
      </c>
      <c r="BK35" s="168">
        <f t="shared" si="20"/>
        <v>0</v>
      </c>
      <c r="BL35" s="168">
        <f t="shared" si="21"/>
        <v>0</v>
      </c>
      <c r="BM35" s="168">
        <f t="shared" si="22"/>
        <v>0</v>
      </c>
      <c r="BN35" s="168">
        <f t="shared" si="23"/>
        <v>0</v>
      </c>
      <c r="BO35" s="168">
        <f t="shared" si="24"/>
        <v>0</v>
      </c>
      <c r="BP35" s="209">
        <f t="shared" si="25"/>
        <v>0</v>
      </c>
      <c r="BQ35" s="168">
        <f t="shared" si="57"/>
        <v>0</v>
      </c>
      <c r="BR35" s="168">
        <f t="shared" si="57"/>
        <v>0</v>
      </c>
      <c r="BS35" s="168">
        <f>BQ35+BR35</f>
        <v>0</v>
      </c>
      <c r="BT35" s="168">
        <f t="shared" si="58"/>
        <v>0</v>
      </c>
      <c r="BU35" s="168">
        <f t="shared" si="58"/>
        <v>0</v>
      </c>
      <c r="BV35" s="168">
        <f>BT35+BU35</f>
        <v>0</v>
      </c>
      <c r="BW35" s="208">
        <f t="shared" si="32"/>
        <v>0</v>
      </c>
      <c r="BX35" s="208">
        <f t="shared" si="33"/>
        <v>0</v>
      </c>
      <c r="BY35" s="208">
        <f t="shared" si="34"/>
        <v>0</v>
      </c>
    </row>
    <row r="36" spans="1:77" ht="16.350000000000001" customHeight="1">
      <c r="A36" s="169">
        <v>29</v>
      </c>
      <c r="B36" s="229" t="s">
        <v>39</v>
      </c>
      <c r="C36" s="175"/>
      <c r="D36" s="175"/>
      <c r="E36" s="175">
        <f t="shared" si="35"/>
        <v>0</v>
      </c>
      <c r="F36" s="175"/>
      <c r="G36" s="175"/>
      <c r="H36" s="211">
        <f t="shared" si="36"/>
        <v>0</v>
      </c>
      <c r="I36" s="175"/>
      <c r="J36" s="175"/>
      <c r="K36" s="175">
        <f t="shared" si="37"/>
        <v>0</v>
      </c>
      <c r="L36" s="212"/>
      <c r="M36" s="175"/>
      <c r="N36" s="175">
        <f t="shared" si="38"/>
        <v>0</v>
      </c>
      <c r="O36" s="175"/>
      <c r="P36" s="175"/>
      <c r="Q36" s="175">
        <f t="shared" si="39"/>
        <v>0</v>
      </c>
      <c r="R36" s="175"/>
      <c r="S36" s="175"/>
      <c r="T36" s="211">
        <f t="shared" si="40"/>
        <v>0</v>
      </c>
      <c r="U36" s="175"/>
      <c r="V36" s="175"/>
      <c r="W36" s="175">
        <f t="shared" si="41"/>
        <v>0</v>
      </c>
      <c r="X36" s="175"/>
      <c r="Y36" s="175"/>
      <c r="Z36" s="175">
        <f t="shared" si="42"/>
        <v>0</v>
      </c>
      <c r="AA36" s="175"/>
      <c r="AB36" s="175"/>
      <c r="AC36" s="175">
        <f t="shared" si="43"/>
        <v>0</v>
      </c>
      <c r="AD36" s="175"/>
      <c r="AE36" s="175"/>
      <c r="AF36" s="211">
        <f t="shared" si="44"/>
        <v>0</v>
      </c>
      <c r="AG36" s="175"/>
      <c r="AH36" s="175"/>
      <c r="AI36" s="175">
        <f t="shared" si="45"/>
        <v>0</v>
      </c>
      <c r="AJ36" s="175"/>
      <c r="AK36" s="175"/>
      <c r="AL36" s="175">
        <f t="shared" si="46"/>
        <v>0</v>
      </c>
      <c r="AM36" s="175"/>
      <c r="AN36" s="175"/>
      <c r="AO36" s="175">
        <f t="shared" si="47"/>
        <v>0</v>
      </c>
      <c r="AP36" s="175"/>
      <c r="AQ36" s="175"/>
      <c r="AR36" s="211">
        <f t="shared" si="48"/>
        <v>0</v>
      </c>
      <c r="AS36" s="175"/>
      <c r="AT36" s="175"/>
      <c r="AU36" s="175">
        <f t="shared" si="49"/>
        <v>0</v>
      </c>
      <c r="AV36" s="175"/>
      <c r="AW36" s="175"/>
      <c r="AX36" s="175">
        <f t="shared" si="50"/>
        <v>0</v>
      </c>
      <c r="AY36" s="175"/>
      <c r="AZ36" s="175"/>
      <c r="BA36" s="175">
        <f t="shared" si="51"/>
        <v>0</v>
      </c>
      <c r="BB36" s="175"/>
      <c r="BC36" s="175"/>
      <c r="BD36" s="211">
        <f t="shared" si="52"/>
        <v>0</v>
      </c>
      <c r="BE36" s="175"/>
      <c r="BF36" s="175"/>
      <c r="BG36" s="175">
        <f t="shared" si="53"/>
        <v>0</v>
      </c>
      <c r="BH36" s="175"/>
      <c r="BI36" s="175"/>
      <c r="BJ36" s="175">
        <f t="shared" si="54"/>
        <v>0</v>
      </c>
      <c r="BK36" s="168">
        <f t="shared" si="20"/>
        <v>0</v>
      </c>
      <c r="BL36" s="168">
        <f t="shared" si="21"/>
        <v>0</v>
      </c>
      <c r="BM36" s="168">
        <f t="shared" si="22"/>
        <v>0</v>
      </c>
      <c r="BN36" s="168">
        <f t="shared" si="23"/>
        <v>0</v>
      </c>
      <c r="BO36" s="168">
        <f t="shared" si="24"/>
        <v>0</v>
      </c>
      <c r="BP36" s="209">
        <f t="shared" si="25"/>
        <v>0</v>
      </c>
      <c r="BQ36" s="168">
        <f t="shared" si="57"/>
        <v>0</v>
      </c>
      <c r="BR36" s="168">
        <f t="shared" si="57"/>
        <v>0</v>
      </c>
      <c r="BS36" s="168">
        <f>BQ36+BR36</f>
        <v>0</v>
      </c>
      <c r="BT36" s="168">
        <f t="shared" si="58"/>
        <v>0</v>
      </c>
      <c r="BU36" s="168">
        <f t="shared" si="58"/>
        <v>0</v>
      </c>
      <c r="BV36" s="168">
        <f>BT36+BU36</f>
        <v>0</v>
      </c>
      <c r="BW36" s="208">
        <f t="shared" si="32"/>
        <v>0</v>
      </c>
      <c r="BX36" s="208">
        <f t="shared" si="33"/>
        <v>0</v>
      </c>
      <c r="BY36" s="208">
        <f t="shared" si="34"/>
        <v>0</v>
      </c>
    </row>
    <row r="37" spans="1:77" ht="16.350000000000001" customHeight="1">
      <c r="A37" s="169">
        <v>30</v>
      </c>
      <c r="B37" s="229" t="s">
        <v>40</v>
      </c>
      <c r="C37" s="175"/>
      <c r="D37" s="175"/>
      <c r="E37" s="175">
        <f t="shared" si="35"/>
        <v>0</v>
      </c>
      <c r="F37" s="175"/>
      <c r="G37" s="175"/>
      <c r="H37" s="211">
        <f t="shared" si="36"/>
        <v>0</v>
      </c>
      <c r="I37" s="175"/>
      <c r="J37" s="175"/>
      <c r="K37" s="175">
        <f t="shared" si="37"/>
        <v>0</v>
      </c>
      <c r="L37" s="212"/>
      <c r="M37" s="175"/>
      <c r="N37" s="175">
        <f t="shared" si="38"/>
        <v>0</v>
      </c>
      <c r="O37" s="175"/>
      <c r="P37" s="175"/>
      <c r="Q37" s="175">
        <f t="shared" si="39"/>
        <v>0</v>
      </c>
      <c r="R37" s="175"/>
      <c r="S37" s="175"/>
      <c r="T37" s="211">
        <f t="shared" si="40"/>
        <v>0</v>
      </c>
      <c r="U37" s="175"/>
      <c r="V37" s="175"/>
      <c r="W37" s="175">
        <f t="shared" si="41"/>
        <v>0</v>
      </c>
      <c r="X37" s="175"/>
      <c r="Y37" s="175"/>
      <c r="Z37" s="175">
        <f t="shared" si="42"/>
        <v>0</v>
      </c>
      <c r="AA37" s="175"/>
      <c r="AB37" s="175"/>
      <c r="AC37" s="175">
        <f t="shared" si="43"/>
        <v>0</v>
      </c>
      <c r="AD37" s="175"/>
      <c r="AE37" s="175"/>
      <c r="AF37" s="211">
        <f t="shared" si="44"/>
        <v>0</v>
      </c>
      <c r="AG37" s="175"/>
      <c r="AH37" s="175"/>
      <c r="AI37" s="175">
        <f t="shared" si="45"/>
        <v>0</v>
      </c>
      <c r="AJ37" s="175"/>
      <c r="AK37" s="175"/>
      <c r="AL37" s="175">
        <f t="shared" si="46"/>
        <v>0</v>
      </c>
      <c r="AM37" s="175"/>
      <c r="AN37" s="175"/>
      <c r="AO37" s="175">
        <f t="shared" si="47"/>
        <v>0</v>
      </c>
      <c r="AP37" s="175"/>
      <c r="AQ37" s="175"/>
      <c r="AR37" s="211">
        <f t="shared" si="48"/>
        <v>0</v>
      </c>
      <c r="AS37" s="175"/>
      <c r="AT37" s="175"/>
      <c r="AU37" s="175">
        <f t="shared" si="49"/>
        <v>0</v>
      </c>
      <c r="AV37" s="175"/>
      <c r="AW37" s="175"/>
      <c r="AX37" s="175">
        <f t="shared" si="50"/>
        <v>0</v>
      </c>
      <c r="AY37" s="175"/>
      <c r="AZ37" s="175"/>
      <c r="BA37" s="175">
        <f t="shared" si="51"/>
        <v>0</v>
      </c>
      <c r="BB37" s="175"/>
      <c r="BC37" s="175"/>
      <c r="BD37" s="211">
        <f t="shared" si="52"/>
        <v>0</v>
      </c>
      <c r="BE37" s="175"/>
      <c r="BF37" s="175"/>
      <c r="BG37" s="175">
        <f t="shared" si="53"/>
        <v>0</v>
      </c>
      <c r="BH37" s="175"/>
      <c r="BI37" s="175"/>
      <c r="BJ37" s="175">
        <f t="shared" si="54"/>
        <v>0</v>
      </c>
      <c r="BK37" s="168">
        <f t="shared" si="20"/>
        <v>0</v>
      </c>
      <c r="BL37" s="168">
        <f t="shared" si="21"/>
        <v>0</v>
      </c>
      <c r="BM37" s="168">
        <f t="shared" si="22"/>
        <v>0</v>
      </c>
      <c r="BN37" s="168">
        <f t="shared" si="23"/>
        <v>0</v>
      </c>
      <c r="BO37" s="168">
        <f t="shared" si="24"/>
        <v>0</v>
      </c>
      <c r="BP37" s="209">
        <f t="shared" si="25"/>
        <v>0</v>
      </c>
      <c r="BQ37" s="168">
        <f t="shared" si="57"/>
        <v>0</v>
      </c>
      <c r="BR37" s="168">
        <f t="shared" si="57"/>
        <v>0</v>
      </c>
      <c r="BS37" s="168">
        <f>BQ37+BR37</f>
        <v>0</v>
      </c>
      <c r="BT37" s="168">
        <f t="shared" si="58"/>
        <v>0</v>
      </c>
      <c r="BU37" s="168">
        <f t="shared" si="58"/>
        <v>0</v>
      </c>
      <c r="BV37" s="168">
        <f>BT37+BU37</f>
        <v>0</v>
      </c>
      <c r="BW37" s="208">
        <f t="shared" si="32"/>
        <v>0</v>
      </c>
      <c r="BX37" s="208">
        <f t="shared" si="33"/>
        <v>0</v>
      </c>
      <c r="BY37" s="208">
        <f t="shared" si="34"/>
        <v>0</v>
      </c>
    </row>
    <row r="38" spans="1:77" ht="16.350000000000001" customHeight="1">
      <c r="A38" s="169">
        <v>31</v>
      </c>
      <c r="B38" s="229" t="s">
        <v>41</v>
      </c>
      <c r="C38" s="214"/>
      <c r="D38" s="214"/>
      <c r="E38" s="214"/>
      <c r="F38" s="214"/>
      <c r="G38" s="214"/>
      <c r="H38" s="214"/>
      <c r="I38" s="214"/>
      <c r="J38" s="214"/>
      <c r="K38" s="214"/>
      <c r="L38" s="215"/>
      <c r="M38" s="214"/>
      <c r="N38" s="214"/>
      <c r="O38" s="214"/>
      <c r="P38" s="214"/>
      <c r="Q38" s="213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3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3"/>
      <c r="BK38" s="168"/>
      <c r="BL38" s="168"/>
      <c r="BM38" s="168"/>
      <c r="BN38" s="168"/>
      <c r="BO38" s="168"/>
      <c r="BP38" s="209"/>
      <c r="BQ38" s="168"/>
      <c r="BR38" s="168"/>
      <c r="BS38" s="168"/>
      <c r="BT38" s="168"/>
      <c r="BU38" s="168"/>
      <c r="BV38" s="168"/>
      <c r="BW38" s="208">
        <f t="shared" si="32"/>
        <v>0</v>
      </c>
      <c r="BX38" s="208">
        <f t="shared" si="33"/>
        <v>0</v>
      </c>
      <c r="BY38" s="208">
        <f t="shared" si="34"/>
        <v>0</v>
      </c>
    </row>
    <row r="39" spans="1:77" ht="16.350000000000001" customHeight="1">
      <c r="A39" s="169">
        <v>32</v>
      </c>
      <c r="B39" s="229" t="s">
        <v>42</v>
      </c>
      <c r="C39" s="175"/>
      <c r="D39" s="175"/>
      <c r="E39" s="175">
        <f>C39+D39</f>
        <v>0</v>
      </c>
      <c r="F39" s="175"/>
      <c r="G39" s="175"/>
      <c r="H39" s="211">
        <f>F39+G39</f>
        <v>0</v>
      </c>
      <c r="I39" s="175"/>
      <c r="J39" s="175"/>
      <c r="K39" s="175">
        <f>I39+J39</f>
        <v>0</v>
      </c>
      <c r="L39" s="212"/>
      <c r="M39" s="175"/>
      <c r="N39" s="175">
        <f>L39+M39</f>
        <v>0</v>
      </c>
      <c r="O39" s="175"/>
      <c r="P39" s="175"/>
      <c r="Q39" s="175">
        <f>O39+P39</f>
        <v>0</v>
      </c>
      <c r="R39" s="175"/>
      <c r="S39" s="175"/>
      <c r="T39" s="211">
        <f>R39+S39</f>
        <v>0</v>
      </c>
      <c r="U39" s="175"/>
      <c r="V39" s="175"/>
      <c r="W39" s="175">
        <f>U39+V39</f>
        <v>0</v>
      </c>
      <c r="X39" s="175"/>
      <c r="Y39" s="175"/>
      <c r="Z39" s="175">
        <f>X39+Y39</f>
        <v>0</v>
      </c>
      <c r="AA39" s="175"/>
      <c r="AB39" s="175"/>
      <c r="AC39" s="175">
        <f>AA39+AB39</f>
        <v>0</v>
      </c>
      <c r="AD39" s="175"/>
      <c r="AE39" s="175"/>
      <c r="AF39" s="211">
        <f>AD39+AE39</f>
        <v>0</v>
      </c>
      <c r="AG39" s="175"/>
      <c r="AH39" s="175"/>
      <c r="AI39" s="175">
        <f>AG39+AH39</f>
        <v>0</v>
      </c>
      <c r="AJ39" s="175"/>
      <c r="AK39" s="175"/>
      <c r="AL39" s="175">
        <f>AJ39+AK39</f>
        <v>0</v>
      </c>
      <c r="AM39" s="175"/>
      <c r="AN39" s="175"/>
      <c r="AO39" s="175">
        <f>AM39+AN39</f>
        <v>0</v>
      </c>
      <c r="AP39" s="175"/>
      <c r="AQ39" s="175"/>
      <c r="AR39" s="211">
        <f>AP39+AQ39</f>
        <v>0</v>
      </c>
      <c r="AS39" s="175"/>
      <c r="AT39" s="175"/>
      <c r="AU39" s="175">
        <f>AS39+AT39</f>
        <v>0</v>
      </c>
      <c r="AV39" s="175"/>
      <c r="AW39" s="175"/>
      <c r="AX39" s="175">
        <f>AV39+AW39</f>
        <v>0</v>
      </c>
      <c r="AY39" s="175"/>
      <c r="AZ39" s="175"/>
      <c r="BA39" s="175">
        <f>AY39+AZ39</f>
        <v>0</v>
      </c>
      <c r="BB39" s="175"/>
      <c r="BC39" s="175"/>
      <c r="BD39" s="211">
        <f>BB39+BC39</f>
        <v>0</v>
      </c>
      <c r="BE39" s="175"/>
      <c r="BF39" s="175"/>
      <c r="BG39" s="175">
        <f>BE39+BF39</f>
        <v>0</v>
      </c>
      <c r="BH39" s="175"/>
      <c r="BI39" s="175"/>
      <c r="BJ39" s="175">
        <f>BH39+BI39</f>
        <v>0</v>
      </c>
      <c r="BK39" s="168">
        <f t="shared" ref="BK39:BL43" si="59">C39+O39+AA39+AM39+AY39</f>
        <v>0</v>
      </c>
      <c r="BL39" s="168">
        <f t="shared" si="59"/>
        <v>0</v>
      </c>
      <c r="BM39" s="168">
        <f>BK39+BL39</f>
        <v>0</v>
      </c>
      <c r="BN39" s="168">
        <f t="shared" ref="BN39:BO43" si="60">F39+R39+AD39+AP39+BB39</f>
        <v>0</v>
      </c>
      <c r="BO39" s="168">
        <f t="shared" si="60"/>
        <v>0</v>
      </c>
      <c r="BP39" s="209">
        <f>BN39+BO39</f>
        <v>0</v>
      </c>
      <c r="BQ39" s="168">
        <f t="shared" ref="BQ39:BR42" si="61">I39+U39+AG39+AS39+BE39</f>
        <v>0</v>
      </c>
      <c r="BR39" s="168">
        <f t="shared" si="61"/>
        <v>0</v>
      </c>
      <c r="BS39" s="168">
        <f>BQ39+BR39</f>
        <v>0</v>
      </c>
      <c r="BT39" s="168">
        <f t="shared" ref="BT39:BU42" si="62">L39+X39+AJ39+AV39+BH39</f>
        <v>0</v>
      </c>
      <c r="BU39" s="168">
        <f t="shared" si="62"/>
        <v>0</v>
      </c>
      <c r="BV39" s="168">
        <f>BT39+BU39</f>
        <v>0</v>
      </c>
      <c r="BW39" s="208">
        <f t="shared" si="32"/>
        <v>0</v>
      </c>
      <c r="BX39" s="208">
        <f t="shared" si="33"/>
        <v>0</v>
      </c>
      <c r="BY39" s="208">
        <f t="shared" si="34"/>
        <v>0</v>
      </c>
    </row>
    <row r="40" spans="1:77" ht="16.350000000000001" customHeight="1">
      <c r="A40" s="169">
        <v>33</v>
      </c>
      <c r="B40" s="229" t="s">
        <v>43</v>
      </c>
      <c r="C40" s="175"/>
      <c r="D40" s="175"/>
      <c r="E40" s="175">
        <f>C40+D40</f>
        <v>0</v>
      </c>
      <c r="F40" s="175"/>
      <c r="G40" s="175"/>
      <c r="H40" s="211">
        <f>F40+G40</f>
        <v>0</v>
      </c>
      <c r="I40" s="175"/>
      <c r="J40" s="175"/>
      <c r="K40" s="175">
        <f>I40+J40</f>
        <v>0</v>
      </c>
      <c r="L40" s="212"/>
      <c r="M40" s="175"/>
      <c r="N40" s="175">
        <f>L40+M40</f>
        <v>0</v>
      </c>
      <c r="O40" s="175"/>
      <c r="P40" s="175"/>
      <c r="Q40" s="175">
        <f>O40+P40</f>
        <v>0</v>
      </c>
      <c r="R40" s="175"/>
      <c r="S40" s="175"/>
      <c r="T40" s="211">
        <f>R40+S40</f>
        <v>0</v>
      </c>
      <c r="U40" s="175"/>
      <c r="V40" s="175"/>
      <c r="W40" s="175">
        <f>U40+V40</f>
        <v>0</v>
      </c>
      <c r="X40" s="175"/>
      <c r="Y40" s="175"/>
      <c r="Z40" s="175">
        <f>X40+Y40</f>
        <v>0</v>
      </c>
      <c r="AA40" s="175"/>
      <c r="AB40" s="175"/>
      <c r="AC40" s="175">
        <f>AA40+AB40</f>
        <v>0</v>
      </c>
      <c r="AD40" s="175"/>
      <c r="AE40" s="175"/>
      <c r="AF40" s="211">
        <f>AD40+AE40</f>
        <v>0</v>
      </c>
      <c r="AG40" s="175"/>
      <c r="AH40" s="175"/>
      <c r="AI40" s="175">
        <f>AG40+AH40</f>
        <v>0</v>
      </c>
      <c r="AJ40" s="175"/>
      <c r="AK40" s="175"/>
      <c r="AL40" s="175">
        <f>AJ40+AK40</f>
        <v>0</v>
      </c>
      <c r="AM40" s="175"/>
      <c r="AN40" s="175"/>
      <c r="AO40" s="175">
        <f>AM40+AN40</f>
        <v>0</v>
      </c>
      <c r="AP40" s="175"/>
      <c r="AQ40" s="175"/>
      <c r="AR40" s="211">
        <f>AP40+AQ40</f>
        <v>0</v>
      </c>
      <c r="AS40" s="175"/>
      <c r="AT40" s="175"/>
      <c r="AU40" s="175">
        <f>AS40+AT40</f>
        <v>0</v>
      </c>
      <c r="AV40" s="175"/>
      <c r="AW40" s="175"/>
      <c r="AX40" s="175">
        <f>AV40+AW40</f>
        <v>0</v>
      </c>
      <c r="AY40" s="175"/>
      <c r="AZ40" s="175"/>
      <c r="BA40" s="175">
        <f>AY40+AZ40</f>
        <v>0</v>
      </c>
      <c r="BB40" s="175"/>
      <c r="BC40" s="175"/>
      <c r="BD40" s="211">
        <f>BB40+BC40</f>
        <v>0</v>
      </c>
      <c r="BE40" s="175"/>
      <c r="BF40" s="175"/>
      <c r="BG40" s="175">
        <f>BE40+BF40</f>
        <v>0</v>
      </c>
      <c r="BH40" s="175"/>
      <c r="BI40" s="175"/>
      <c r="BJ40" s="175">
        <f>BH40+BI40</f>
        <v>0</v>
      </c>
      <c r="BK40" s="168">
        <f t="shared" si="59"/>
        <v>0</v>
      </c>
      <c r="BL40" s="168">
        <f t="shared" si="59"/>
        <v>0</v>
      </c>
      <c r="BM40" s="168">
        <f>BK40+BL40</f>
        <v>0</v>
      </c>
      <c r="BN40" s="168">
        <f t="shared" si="60"/>
        <v>0</v>
      </c>
      <c r="BO40" s="168">
        <f t="shared" si="60"/>
        <v>0</v>
      </c>
      <c r="BP40" s="209">
        <f>BN40+BO40</f>
        <v>0</v>
      </c>
      <c r="BQ40" s="168">
        <f t="shared" si="61"/>
        <v>0</v>
      </c>
      <c r="BR40" s="168">
        <f t="shared" si="61"/>
        <v>0</v>
      </c>
      <c r="BS40" s="168">
        <f>BQ40+BR40</f>
        <v>0</v>
      </c>
      <c r="BT40" s="168">
        <f t="shared" si="62"/>
        <v>0</v>
      </c>
      <c r="BU40" s="168">
        <f t="shared" si="62"/>
        <v>0</v>
      </c>
      <c r="BV40" s="168">
        <f>BT40+BU40</f>
        <v>0</v>
      </c>
      <c r="BW40" s="208">
        <f t="shared" si="32"/>
        <v>0</v>
      </c>
      <c r="BX40" s="208">
        <f t="shared" si="33"/>
        <v>0</v>
      </c>
      <c r="BY40" s="208">
        <f t="shared" si="34"/>
        <v>0</v>
      </c>
    </row>
    <row r="41" spans="1:77" ht="16.350000000000001" customHeight="1">
      <c r="A41" s="169">
        <v>34</v>
      </c>
      <c r="B41" s="229" t="s">
        <v>58</v>
      </c>
      <c r="C41" s="175"/>
      <c r="D41" s="175"/>
      <c r="E41" s="175"/>
      <c r="F41" s="175"/>
      <c r="G41" s="175"/>
      <c r="H41" s="211">
        <f>F41+G41</f>
        <v>0</v>
      </c>
      <c r="I41" s="175"/>
      <c r="J41" s="175"/>
      <c r="K41" s="175">
        <f>I41+J41</f>
        <v>0</v>
      </c>
      <c r="L41" s="212"/>
      <c r="M41" s="175"/>
      <c r="N41" s="175">
        <f>L41+M41</f>
        <v>0</v>
      </c>
      <c r="O41" s="175"/>
      <c r="P41" s="175"/>
      <c r="Q41" s="175">
        <f>O41+P41</f>
        <v>0</v>
      </c>
      <c r="R41" s="175"/>
      <c r="S41" s="175"/>
      <c r="T41" s="211">
        <f>R41+S41</f>
        <v>0</v>
      </c>
      <c r="U41" s="175"/>
      <c r="V41" s="175"/>
      <c r="W41" s="175">
        <f>U41+V41</f>
        <v>0</v>
      </c>
      <c r="X41" s="175"/>
      <c r="Y41" s="175"/>
      <c r="Z41" s="175">
        <f>X41+Y41</f>
        <v>0</v>
      </c>
      <c r="AA41" s="175"/>
      <c r="AB41" s="175"/>
      <c r="AC41" s="175">
        <f>AA41+AB41</f>
        <v>0</v>
      </c>
      <c r="AD41" s="175"/>
      <c r="AE41" s="175"/>
      <c r="AF41" s="211">
        <f>AD41+AE41</f>
        <v>0</v>
      </c>
      <c r="AG41" s="175"/>
      <c r="AH41" s="175"/>
      <c r="AI41" s="175">
        <f>AG41+AH41</f>
        <v>0</v>
      </c>
      <c r="AJ41" s="175"/>
      <c r="AK41" s="175"/>
      <c r="AL41" s="175">
        <f>AJ41+AK41</f>
        <v>0</v>
      </c>
      <c r="AM41" s="175"/>
      <c r="AN41" s="175"/>
      <c r="AO41" s="175">
        <f>AM41+AN41</f>
        <v>0</v>
      </c>
      <c r="AP41" s="175"/>
      <c r="AQ41" s="175"/>
      <c r="AR41" s="211">
        <f>AP41+AQ41</f>
        <v>0</v>
      </c>
      <c r="AS41" s="175"/>
      <c r="AT41" s="175"/>
      <c r="AU41" s="175">
        <f>AS41+AT41</f>
        <v>0</v>
      </c>
      <c r="AV41" s="175"/>
      <c r="AW41" s="175"/>
      <c r="AX41" s="175">
        <v>0</v>
      </c>
      <c r="AY41" s="175"/>
      <c r="AZ41" s="175"/>
      <c r="BA41" s="175">
        <f>AY41+AZ41</f>
        <v>0</v>
      </c>
      <c r="BB41" s="175"/>
      <c r="BC41" s="175"/>
      <c r="BD41" s="211">
        <f>BB41+BC41</f>
        <v>0</v>
      </c>
      <c r="BE41" s="175"/>
      <c r="BF41" s="175"/>
      <c r="BG41" s="175">
        <f>BE41+BF41</f>
        <v>0</v>
      </c>
      <c r="BH41" s="175"/>
      <c r="BI41" s="175"/>
      <c r="BJ41" s="175">
        <v>0</v>
      </c>
      <c r="BK41" s="168">
        <f t="shared" si="59"/>
        <v>0</v>
      </c>
      <c r="BL41" s="168">
        <f t="shared" si="59"/>
        <v>0</v>
      </c>
      <c r="BM41" s="168">
        <f>BK41+BL41</f>
        <v>0</v>
      </c>
      <c r="BN41" s="168">
        <f t="shared" si="60"/>
        <v>0</v>
      </c>
      <c r="BO41" s="168">
        <f t="shared" si="60"/>
        <v>0</v>
      </c>
      <c r="BP41" s="209">
        <f>BN41+BO41</f>
        <v>0</v>
      </c>
      <c r="BQ41" s="168">
        <f t="shared" si="61"/>
        <v>0</v>
      </c>
      <c r="BR41" s="168">
        <f t="shared" si="61"/>
        <v>0</v>
      </c>
      <c r="BS41" s="168">
        <f>BQ41+BR41</f>
        <v>0</v>
      </c>
      <c r="BT41" s="168">
        <f t="shared" si="62"/>
        <v>0</v>
      </c>
      <c r="BU41" s="168">
        <f t="shared" si="62"/>
        <v>0</v>
      </c>
      <c r="BV41" s="168">
        <f>BT41+BU41</f>
        <v>0</v>
      </c>
      <c r="BW41" s="208">
        <f t="shared" si="32"/>
        <v>0</v>
      </c>
      <c r="BX41" s="208">
        <f t="shared" si="33"/>
        <v>0</v>
      </c>
      <c r="BY41" s="208">
        <f t="shared" si="34"/>
        <v>0</v>
      </c>
    </row>
    <row r="42" spans="1:77" ht="16.350000000000001" customHeight="1">
      <c r="A42" s="169">
        <v>35</v>
      </c>
      <c r="B42" s="229" t="s">
        <v>45</v>
      </c>
      <c r="C42" s="175"/>
      <c r="D42" s="175"/>
      <c r="E42" s="175">
        <f>C42+D42</f>
        <v>0</v>
      </c>
      <c r="F42" s="175"/>
      <c r="G42" s="175"/>
      <c r="H42" s="211">
        <f>F42+G42</f>
        <v>0</v>
      </c>
      <c r="I42" s="175"/>
      <c r="J42" s="175"/>
      <c r="K42" s="175">
        <f>I42+J42</f>
        <v>0</v>
      </c>
      <c r="L42" s="212"/>
      <c r="M42" s="175"/>
      <c r="N42" s="175">
        <f>L42+M42</f>
        <v>0</v>
      </c>
      <c r="O42" s="175"/>
      <c r="P42" s="175"/>
      <c r="Q42" s="175">
        <f>O42+P42</f>
        <v>0</v>
      </c>
      <c r="R42" s="175"/>
      <c r="S42" s="175"/>
      <c r="T42" s="211">
        <f>R42+S42</f>
        <v>0</v>
      </c>
      <c r="U42" s="175"/>
      <c r="V42" s="175"/>
      <c r="W42" s="175">
        <f>U42+V42</f>
        <v>0</v>
      </c>
      <c r="X42" s="175"/>
      <c r="Y42" s="175"/>
      <c r="Z42" s="175">
        <f>X42+Y42</f>
        <v>0</v>
      </c>
      <c r="AA42" s="175"/>
      <c r="AB42" s="175"/>
      <c r="AC42" s="175">
        <f>AA42+AB42</f>
        <v>0</v>
      </c>
      <c r="AD42" s="175"/>
      <c r="AE42" s="175"/>
      <c r="AF42" s="211">
        <f>AD42+AE42</f>
        <v>0</v>
      </c>
      <c r="AG42" s="175"/>
      <c r="AH42" s="175"/>
      <c r="AI42" s="175">
        <f>AG42+AH42</f>
        <v>0</v>
      </c>
      <c r="AJ42" s="175"/>
      <c r="AK42" s="175"/>
      <c r="AL42" s="175">
        <f>AJ42+AK42</f>
        <v>0</v>
      </c>
      <c r="AM42" s="175"/>
      <c r="AN42" s="175"/>
      <c r="AO42" s="175">
        <f>AM42+AN42</f>
        <v>0</v>
      </c>
      <c r="AP42" s="175"/>
      <c r="AQ42" s="175"/>
      <c r="AR42" s="211">
        <f>AP42+AQ42</f>
        <v>0</v>
      </c>
      <c r="AS42" s="175"/>
      <c r="AT42" s="175"/>
      <c r="AU42" s="175">
        <f>AS42+AT42</f>
        <v>0</v>
      </c>
      <c r="AV42" s="175"/>
      <c r="AW42" s="175"/>
      <c r="AX42" s="175">
        <f>AV42+AW42</f>
        <v>0</v>
      </c>
      <c r="AY42" s="175"/>
      <c r="AZ42" s="175"/>
      <c r="BA42" s="175">
        <f>AY42+AZ42</f>
        <v>0</v>
      </c>
      <c r="BB42" s="175"/>
      <c r="BC42" s="175"/>
      <c r="BD42" s="211">
        <f>BB42+BC42</f>
        <v>0</v>
      </c>
      <c r="BE42" s="175"/>
      <c r="BF42" s="175"/>
      <c r="BG42" s="175">
        <f>BE42+BF42</f>
        <v>0</v>
      </c>
      <c r="BH42" s="175"/>
      <c r="BI42" s="210"/>
      <c r="BJ42" s="175">
        <f>BH42+BI42</f>
        <v>0</v>
      </c>
      <c r="BK42" s="168">
        <f t="shared" si="59"/>
        <v>0</v>
      </c>
      <c r="BL42" s="168">
        <f t="shared" si="59"/>
        <v>0</v>
      </c>
      <c r="BM42" s="168">
        <f>BK42+BL42</f>
        <v>0</v>
      </c>
      <c r="BN42" s="168">
        <f t="shared" si="60"/>
        <v>0</v>
      </c>
      <c r="BO42" s="168">
        <f t="shared" si="60"/>
        <v>0</v>
      </c>
      <c r="BP42" s="209">
        <f>BN42+BO42</f>
        <v>0</v>
      </c>
      <c r="BQ42" s="168">
        <f t="shared" si="61"/>
        <v>0</v>
      </c>
      <c r="BR42" s="168">
        <f t="shared" si="61"/>
        <v>0</v>
      </c>
      <c r="BS42" s="168">
        <f>BQ42+BR42</f>
        <v>0</v>
      </c>
      <c r="BT42" s="168">
        <f t="shared" si="62"/>
        <v>0</v>
      </c>
      <c r="BU42" s="168">
        <f t="shared" si="62"/>
        <v>0</v>
      </c>
      <c r="BV42" s="168">
        <f>BT42+BU42</f>
        <v>0</v>
      </c>
      <c r="BW42" s="208">
        <f t="shared" si="32"/>
        <v>0</v>
      </c>
      <c r="BX42" s="208">
        <f t="shared" si="33"/>
        <v>0</v>
      </c>
      <c r="BY42" s="208">
        <f t="shared" si="34"/>
        <v>0</v>
      </c>
    </row>
    <row r="43" spans="1:77" ht="16.5">
      <c r="B43" s="231" t="s">
        <v>46</v>
      </c>
      <c r="C43" s="164">
        <f>SUM(C8:C42)</f>
        <v>0</v>
      </c>
      <c r="D43" s="164">
        <f>SUM(D8:D42)</f>
        <v>0</v>
      </c>
      <c r="E43" s="205">
        <f>C43+D43</f>
        <v>0</v>
      </c>
      <c r="F43" s="164">
        <f>SUM(F8:F42)</f>
        <v>0</v>
      </c>
      <c r="G43" s="164">
        <f>SUM(G8:G42)</f>
        <v>0</v>
      </c>
      <c r="H43" s="206">
        <f>F43+G43</f>
        <v>0</v>
      </c>
      <c r="I43" s="164">
        <f>SUM(I8:I42)</f>
        <v>0</v>
      </c>
      <c r="J43" s="164">
        <f>SUM(J8:J42)</f>
        <v>0</v>
      </c>
      <c r="K43" s="205">
        <f>I43+J43</f>
        <v>0</v>
      </c>
      <c r="L43" s="207">
        <f>SUM(L8:L42)</f>
        <v>0</v>
      </c>
      <c r="M43" s="164">
        <f>SUM(M8:M42)</f>
        <v>0</v>
      </c>
      <c r="N43" s="205">
        <f>L43+M43</f>
        <v>0</v>
      </c>
      <c r="O43" s="164">
        <f>SUM(O8:O42)</f>
        <v>0</v>
      </c>
      <c r="P43" s="164">
        <f>SUM(P8:P42)</f>
        <v>0</v>
      </c>
      <c r="Q43" s="205">
        <f>O43+P43</f>
        <v>0</v>
      </c>
      <c r="R43" s="164">
        <f>SUM(R8:R42)</f>
        <v>0</v>
      </c>
      <c r="S43" s="164">
        <f>SUM(S8:S42)</f>
        <v>0</v>
      </c>
      <c r="T43" s="206">
        <f>R43+S43</f>
        <v>0</v>
      </c>
      <c r="U43" s="164">
        <f>SUM(U8:U42)</f>
        <v>0</v>
      </c>
      <c r="V43" s="164">
        <f>SUM(V8:V42)</f>
        <v>0</v>
      </c>
      <c r="W43" s="205">
        <f>U43+V43</f>
        <v>0</v>
      </c>
      <c r="X43" s="164">
        <f>SUM(X8:X42)</f>
        <v>0</v>
      </c>
      <c r="Y43" s="164">
        <f>SUM(Y8:Y42)</f>
        <v>0</v>
      </c>
      <c r="Z43" s="205">
        <f>X43+Y43</f>
        <v>0</v>
      </c>
      <c r="AA43" s="164">
        <f>SUM(AA8:AA42)</f>
        <v>0</v>
      </c>
      <c r="AB43" s="164">
        <f>SUM(AB8:AB42)</f>
        <v>0</v>
      </c>
      <c r="AC43" s="205">
        <f>AA43+AB43</f>
        <v>0</v>
      </c>
      <c r="AD43" s="164">
        <f>SUM(AD8:AD42)</f>
        <v>0</v>
      </c>
      <c r="AE43" s="164">
        <f>SUM(AE8:AE42)</f>
        <v>0</v>
      </c>
      <c r="AF43" s="206">
        <f>AD43+AE43</f>
        <v>0</v>
      </c>
      <c r="AG43" s="164">
        <f>SUM(AG8:AG42)</f>
        <v>0</v>
      </c>
      <c r="AH43" s="164">
        <f>SUM(AH8:AH42)</f>
        <v>0</v>
      </c>
      <c r="AI43" s="205">
        <f>AG43+AH43</f>
        <v>0</v>
      </c>
      <c r="AJ43" s="164">
        <f>SUM(AJ8:AJ42)</f>
        <v>0</v>
      </c>
      <c r="AK43" s="164">
        <f>SUM(AK8:AK42)</f>
        <v>0</v>
      </c>
      <c r="AL43" s="205">
        <f>AJ43+AK43</f>
        <v>0</v>
      </c>
      <c r="AM43" s="164">
        <f>SUM(AM8:AM42)</f>
        <v>0</v>
      </c>
      <c r="AN43" s="164">
        <f>SUM(AN8:AN42)</f>
        <v>0</v>
      </c>
      <c r="AO43" s="205">
        <f>AM43+AN43</f>
        <v>0</v>
      </c>
      <c r="AP43" s="164">
        <f>SUM(AP8:AP42)</f>
        <v>0</v>
      </c>
      <c r="AQ43" s="164">
        <f>SUM(AQ8:AQ42)</f>
        <v>0</v>
      </c>
      <c r="AR43" s="206">
        <f>AP43+AQ43</f>
        <v>0</v>
      </c>
      <c r="AS43" s="164">
        <f>SUM(AS8:AS42)</f>
        <v>0</v>
      </c>
      <c r="AT43" s="164">
        <f>SUM(AT8:AT42)</f>
        <v>0</v>
      </c>
      <c r="AU43" s="205">
        <f>AS43+AT43</f>
        <v>0</v>
      </c>
      <c r="AV43" s="164">
        <f>SUM(AV8:AV42)</f>
        <v>0</v>
      </c>
      <c r="AW43" s="164">
        <f>SUM(AW8:AW42)</f>
        <v>0</v>
      </c>
      <c r="AX43" s="205">
        <f>AV43+AW43</f>
        <v>0</v>
      </c>
      <c r="AY43" s="164">
        <f>SUM(AY8:AY42)</f>
        <v>0</v>
      </c>
      <c r="AZ43" s="164">
        <f>SUM(AZ8:AZ42)</f>
        <v>0</v>
      </c>
      <c r="BA43" s="205">
        <f>AY43+AZ43</f>
        <v>0</v>
      </c>
      <c r="BB43" s="164">
        <f>SUM(BB8:BB42)</f>
        <v>0</v>
      </c>
      <c r="BC43" s="164">
        <f>SUM(BC8:BC42)</f>
        <v>0</v>
      </c>
      <c r="BD43" s="206">
        <f>BB43+BC43</f>
        <v>0</v>
      </c>
      <c r="BE43" s="164">
        <f>SUM(BE8:BE42)</f>
        <v>0</v>
      </c>
      <c r="BF43" s="164">
        <f>SUM(BF8:BF42)</f>
        <v>0</v>
      </c>
      <c r="BG43" s="205">
        <f>BE43+BF43</f>
        <v>0</v>
      </c>
      <c r="BH43" s="164">
        <f>SUM(BH8:BH42)</f>
        <v>0</v>
      </c>
      <c r="BI43" s="164">
        <f>SUM(BI8:BI42)</f>
        <v>0</v>
      </c>
      <c r="BJ43" s="205">
        <f>BH43+BI43</f>
        <v>0</v>
      </c>
      <c r="BK43" s="203">
        <f t="shared" si="59"/>
        <v>0</v>
      </c>
      <c r="BL43" s="203">
        <f t="shared" si="59"/>
        <v>0</v>
      </c>
      <c r="BM43" s="203">
        <f>BK43+BL43</f>
        <v>0</v>
      </c>
      <c r="BN43" s="203">
        <f t="shared" si="60"/>
        <v>0</v>
      </c>
      <c r="BO43" s="203">
        <f t="shared" si="60"/>
        <v>0</v>
      </c>
      <c r="BP43" s="204">
        <f>BN43+BO43</f>
        <v>0</v>
      </c>
      <c r="BQ43" s="203">
        <v>41802</v>
      </c>
      <c r="BR43" s="203">
        <v>29171</v>
      </c>
      <c r="BS43" s="203">
        <v>70973</v>
      </c>
      <c r="BT43" s="203">
        <v>13309</v>
      </c>
      <c r="BU43" s="203">
        <v>7456</v>
      </c>
      <c r="BV43" s="203">
        <v>20765</v>
      </c>
      <c r="BW43" s="202">
        <f t="shared" si="32"/>
        <v>55111</v>
      </c>
      <c r="BX43" s="202">
        <f t="shared" si="33"/>
        <v>36627</v>
      </c>
      <c r="BY43" s="202">
        <f t="shared" si="34"/>
        <v>91738</v>
      </c>
    </row>
    <row r="44" spans="1:77" ht="15">
      <c r="C44" s="149"/>
      <c r="D44" s="149"/>
      <c r="E44" s="201"/>
      <c r="F44" s="149"/>
      <c r="G44" s="149"/>
      <c r="H44" s="149"/>
      <c r="I44" s="149"/>
      <c r="J44" s="149"/>
      <c r="K44" s="149"/>
      <c r="L44" s="19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</row>
    <row r="45" spans="1:77" ht="15.75">
      <c r="C45" s="149"/>
      <c r="D45" s="149"/>
      <c r="E45" s="149"/>
      <c r="F45" s="151"/>
      <c r="G45" s="151"/>
      <c r="H45" s="200"/>
      <c r="I45" s="149"/>
      <c r="J45" s="149"/>
      <c r="K45" s="149"/>
      <c r="L45" s="19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</row>
    <row r="46" spans="1:77" ht="15.75">
      <c r="A46" s="167"/>
      <c r="C46" s="149"/>
      <c r="D46" s="149"/>
      <c r="E46" s="149"/>
      <c r="F46" s="149"/>
      <c r="G46" s="149"/>
      <c r="H46" s="149"/>
      <c r="I46" s="149"/>
      <c r="J46" s="149"/>
      <c r="K46" s="149"/>
      <c r="L46" s="19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</row>
    <row r="47" spans="1:77">
      <c r="C47" s="149"/>
      <c r="D47" s="149"/>
      <c r="E47" s="149"/>
      <c r="F47" s="149"/>
      <c r="G47" s="149"/>
      <c r="H47" s="149"/>
      <c r="I47" s="149"/>
      <c r="J47" s="149"/>
      <c r="K47" s="149"/>
      <c r="L47" s="19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</row>
    <row r="48" spans="1:77">
      <c r="C48" s="149"/>
      <c r="D48" s="149"/>
      <c r="E48" s="149"/>
      <c r="F48" s="149"/>
      <c r="G48" s="149"/>
      <c r="H48" s="149"/>
      <c r="I48" s="149"/>
      <c r="J48" s="149"/>
      <c r="K48" s="149"/>
      <c r="L48" s="19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</row>
    <row r="49" spans="3:62">
      <c r="C49" s="149"/>
      <c r="D49" s="149"/>
      <c r="E49" s="149"/>
      <c r="F49" s="149"/>
      <c r="G49" s="149"/>
      <c r="H49" s="149"/>
      <c r="I49" s="149"/>
      <c r="J49" s="149"/>
      <c r="K49" s="149"/>
      <c r="L49" s="19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</row>
    <row r="50" spans="3:62">
      <c r="C50" s="149"/>
      <c r="D50" s="149"/>
      <c r="E50" s="149"/>
      <c r="F50" s="149"/>
      <c r="G50" s="149"/>
      <c r="H50" s="149"/>
      <c r="I50" s="149"/>
      <c r="J50" s="149"/>
      <c r="K50" s="149"/>
      <c r="L50" s="19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</row>
    <row r="51" spans="3:62">
      <c r="C51" s="149"/>
      <c r="D51" s="149"/>
      <c r="E51" s="149"/>
      <c r="F51" s="149"/>
      <c r="G51" s="149"/>
      <c r="H51" s="149"/>
      <c r="I51" s="149"/>
      <c r="J51" s="149"/>
      <c r="K51" s="149"/>
      <c r="L51" s="19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</row>
    <row r="52" spans="3:62">
      <c r="C52" s="149"/>
      <c r="D52" s="149"/>
      <c r="E52" s="149"/>
      <c r="F52" s="149"/>
      <c r="G52" s="149"/>
      <c r="H52" s="149"/>
      <c r="I52" s="149"/>
      <c r="J52" s="149"/>
      <c r="K52" s="149"/>
      <c r="L52" s="19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</row>
    <row r="53" spans="3:62">
      <c r="C53" s="149"/>
      <c r="D53" s="149"/>
      <c r="E53" s="149"/>
      <c r="F53" s="149"/>
      <c r="G53" s="149"/>
      <c r="H53" s="149"/>
      <c r="I53" s="149"/>
      <c r="J53" s="149"/>
      <c r="K53" s="149"/>
      <c r="L53" s="19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</row>
  </sheetData>
  <mergeCells count="53">
    <mergeCell ref="BQ2:BV3"/>
    <mergeCell ref="BW2:BY3"/>
    <mergeCell ref="AG4:AL4"/>
    <mergeCell ref="AG2:AL3"/>
    <mergeCell ref="BE2:BJ3"/>
    <mergeCell ref="BK2:BP3"/>
    <mergeCell ref="AS2:AX3"/>
    <mergeCell ref="AY2:BD3"/>
    <mergeCell ref="AS4:AX4"/>
    <mergeCell ref="AY4:BD4"/>
    <mergeCell ref="AA4:AF4"/>
    <mergeCell ref="O2:T3"/>
    <mergeCell ref="U2:Z3"/>
    <mergeCell ref="AA2:AF3"/>
    <mergeCell ref="AM4:AR4"/>
    <mergeCell ref="AM2:AR3"/>
    <mergeCell ref="C2:H3"/>
    <mergeCell ref="U5:W5"/>
    <mergeCell ref="I4:N4"/>
    <mergeCell ref="O4:T4"/>
    <mergeCell ref="U4:Z4"/>
    <mergeCell ref="I2:N3"/>
    <mergeCell ref="C4:H4"/>
    <mergeCell ref="X5:Z5"/>
    <mergeCell ref="I5:K5"/>
    <mergeCell ref="BW5:BY5"/>
    <mergeCell ref="BW4:BY4"/>
    <mergeCell ref="BE4:BJ4"/>
    <mergeCell ref="BK4:BP4"/>
    <mergeCell ref="BQ4:BV4"/>
    <mergeCell ref="BQ5:BS5"/>
    <mergeCell ref="AJ5:AL5"/>
    <mergeCell ref="AM5:AO5"/>
    <mergeCell ref="AP5:AR5"/>
    <mergeCell ref="AY5:BA5"/>
    <mergeCell ref="A5:A6"/>
    <mergeCell ref="B5:B6"/>
    <mergeCell ref="C5:E5"/>
    <mergeCell ref="F5:H5"/>
    <mergeCell ref="AA5:AC5"/>
    <mergeCell ref="L5:N5"/>
    <mergeCell ref="O5:Q5"/>
    <mergeCell ref="R5:T5"/>
    <mergeCell ref="AD5:AF5"/>
    <mergeCell ref="AG5:AI5"/>
    <mergeCell ref="BB5:BD5"/>
    <mergeCell ref="AS5:AU5"/>
    <mergeCell ref="AV5:AX5"/>
    <mergeCell ref="BN5:BP5"/>
    <mergeCell ref="BT5:BV5"/>
    <mergeCell ref="BE5:BG5"/>
    <mergeCell ref="BH5:BJ5"/>
    <mergeCell ref="BK5:BM5"/>
  </mergeCells>
  <pageMargins left="1.1000000000000001" right="0.5" top="1" bottom="1" header="0.5" footer="0.5"/>
  <pageSetup scale="91" firstPageNumber="56" orientation="portrait" useFirstPageNumber="1" r:id="rId1"/>
  <headerFooter alignWithMargins="0">
    <oddFooter>&amp;LSTATISTICS OF SCHOOL EDUCATION 2008-09&amp;RD&amp;P</oddFooter>
  </headerFooter>
  <colBreaks count="9" manualBreakCount="9">
    <brk id="8" max="42" man="1"/>
    <brk id="14" max="42" man="1"/>
    <brk id="20" max="42" man="1"/>
    <brk id="26" max="42" man="1"/>
    <brk id="32" max="42" man="1"/>
    <brk id="38" max="42" man="1"/>
    <brk id="44" max="42" man="1"/>
    <brk id="50" max="42" man="1"/>
    <brk id="56" max="42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3">
    <tabColor theme="0"/>
  </sheetPr>
  <dimension ref="A1:BJ42"/>
  <sheetViews>
    <sheetView view="pageBreakPreview" topLeftCell="AC34" zoomScaleSheetLayoutView="100" workbookViewId="0">
      <selection activeCell="AF41" sqref="AF41"/>
    </sheetView>
  </sheetViews>
  <sheetFormatPr defaultRowHeight="15.75"/>
  <cols>
    <col min="1" max="1" width="5.140625" style="124" customWidth="1"/>
    <col min="2" max="2" width="19.5703125" style="124" customWidth="1"/>
    <col min="3" max="38" width="11.28515625" style="124" customWidth="1"/>
    <col min="39" max="243" width="9.140625" style="124"/>
    <col min="244" max="244" width="5.140625" style="124" customWidth="1"/>
    <col min="245" max="245" width="21.42578125" style="124" customWidth="1"/>
    <col min="246" max="246" width="11.140625" style="124" customWidth="1"/>
    <col min="247" max="247" width="9.42578125" style="124" customWidth="1"/>
    <col min="248" max="248" width="11.85546875" style="124" customWidth="1"/>
    <col min="249" max="249" width="10.42578125" style="124" customWidth="1"/>
    <col min="250" max="250" width="9.28515625" style="124" customWidth="1"/>
    <col min="251" max="251" width="11.28515625" style="124" customWidth="1"/>
    <col min="252" max="253" width="8.28515625" style="124" customWidth="1"/>
    <col min="254" max="254" width="9.42578125" style="124" customWidth="1"/>
    <col min="255" max="255" width="10.5703125" style="124" customWidth="1"/>
    <col min="256" max="256" width="10.5703125" style="124" bestFit="1" customWidth="1"/>
    <col min="257" max="257" width="10.5703125" style="124" customWidth="1"/>
    <col min="258" max="258" width="8.28515625" style="124" customWidth="1"/>
    <col min="259" max="259" width="10.28515625" style="124" bestFit="1" customWidth="1"/>
    <col min="260" max="260" width="9.5703125" style="124" customWidth="1"/>
    <col min="261" max="266" width="8.28515625" style="124" customWidth="1"/>
    <col min="267" max="267" width="9.42578125" style="124" customWidth="1"/>
    <col min="268" max="269" width="9.28515625" style="124" customWidth="1"/>
    <col min="270" max="280" width="8.28515625" style="124" customWidth="1"/>
    <col min="281" max="281" width="10.85546875" style="124" customWidth="1"/>
    <col min="282" max="499" width="9.140625" style="124"/>
    <col min="500" max="500" width="5.140625" style="124" customWidth="1"/>
    <col min="501" max="501" width="21.42578125" style="124" customWidth="1"/>
    <col min="502" max="502" width="11.140625" style="124" customWidth="1"/>
    <col min="503" max="503" width="9.42578125" style="124" customWidth="1"/>
    <col min="504" max="504" width="11.85546875" style="124" customWidth="1"/>
    <col min="505" max="505" width="10.42578125" style="124" customWidth="1"/>
    <col min="506" max="506" width="9.28515625" style="124" customWidth="1"/>
    <col min="507" max="507" width="11.28515625" style="124" customWidth="1"/>
    <col min="508" max="509" width="8.28515625" style="124" customWidth="1"/>
    <col min="510" max="510" width="9.42578125" style="124" customWidth="1"/>
    <col min="511" max="511" width="10.5703125" style="124" customWidth="1"/>
    <col min="512" max="512" width="10.5703125" style="124" bestFit="1" customWidth="1"/>
    <col min="513" max="513" width="10.5703125" style="124" customWidth="1"/>
    <col min="514" max="514" width="8.28515625" style="124" customWidth="1"/>
    <col min="515" max="515" width="10.28515625" style="124" bestFit="1" customWidth="1"/>
    <col min="516" max="516" width="9.5703125" style="124" customWidth="1"/>
    <col min="517" max="522" width="8.28515625" style="124" customWidth="1"/>
    <col min="523" max="523" width="9.42578125" style="124" customWidth="1"/>
    <col min="524" max="525" width="9.28515625" style="124" customWidth="1"/>
    <col min="526" max="536" width="8.28515625" style="124" customWidth="1"/>
    <col min="537" max="537" width="10.85546875" style="124" customWidth="1"/>
    <col min="538" max="755" width="9.140625" style="124"/>
    <col min="756" max="756" width="5.140625" style="124" customWidth="1"/>
    <col min="757" max="757" width="21.42578125" style="124" customWidth="1"/>
    <col min="758" max="758" width="11.140625" style="124" customWidth="1"/>
    <col min="759" max="759" width="9.42578125" style="124" customWidth="1"/>
    <col min="760" max="760" width="11.85546875" style="124" customWidth="1"/>
    <col min="761" max="761" width="10.42578125" style="124" customWidth="1"/>
    <col min="762" max="762" width="9.28515625" style="124" customWidth="1"/>
    <col min="763" max="763" width="11.28515625" style="124" customWidth="1"/>
    <col min="764" max="765" width="8.28515625" style="124" customWidth="1"/>
    <col min="766" max="766" width="9.42578125" style="124" customWidth="1"/>
    <col min="767" max="767" width="10.5703125" style="124" customWidth="1"/>
    <col min="768" max="768" width="10.5703125" style="124" bestFit="1" customWidth="1"/>
    <col min="769" max="769" width="10.5703125" style="124" customWidth="1"/>
    <col min="770" max="770" width="8.28515625" style="124" customWidth="1"/>
    <col min="771" max="771" width="10.28515625" style="124" bestFit="1" customWidth="1"/>
    <col min="772" max="772" width="9.5703125" style="124" customWidth="1"/>
    <col min="773" max="778" width="8.28515625" style="124" customWidth="1"/>
    <col min="779" max="779" width="9.42578125" style="124" customWidth="1"/>
    <col min="780" max="781" width="9.28515625" style="124" customWidth="1"/>
    <col min="782" max="792" width="8.28515625" style="124" customWidth="1"/>
    <col min="793" max="793" width="10.85546875" style="124" customWidth="1"/>
    <col min="794" max="1011" width="9.140625" style="124"/>
    <col min="1012" max="1012" width="5.140625" style="124" customWidth="1"/>
    <col min="1013" max="1013" width="21.42578125" style="124" customWidth="1"/>
    <col min="1014" max="1014" width="11.140625" style="124" customWidth="1"/>
    <col min="1015" max="1015" width="9.42578125" style="124" customWidth="1"/>
    <col min="1016" max="1016" width="11.85546875" style="124" customWidth="1"/>
    <col min="1017" max="1017" width="10.42578125" style="124" customWidth="1"/>
    <col min="1018" max="1018" width="9.28515625" style="124" customWidth="1"/>
    <col min="1019" max="1019" width="11.28515625" style="124" customWidth="1"/>
    <col min="1020" max="1021" width="8.28515625" style="124" customWidth="1"/>
    <col min="1022" max="1022" width="9.42578125" style="124" customWidth="1"/>
    <col min="1023" max="1023" width="10.5703125" style="124" customWidth="1"/>
    <col min="1024" max="1024" width="10.5703125" style="124" bestFit="1" customWidth="1"/>
    <col min="1025" max="1025" width="10.5703125" style="124" customWidth="1"/>
    <col min="1026" max="1026" width="8.28515625" style="124" customWidth="1"/>
    <col min="1027" max="1027" width="10.28515625" style="124" bestFit="1" customWidth="1"/>
    <col min="1028" max="1028" width="9.5703125" style="124" customWidth="1"/>
    <col min="1029" max="1034" width="8.28515625" style="124" customWidth="1"/>
    <col min="1035" max="1035" width="9.42578125" style="124" customWidth="1"/>
    <col min="1036" max="1037" width="9.28515625" style="124" customWidth="1"/>
    <col min="1038" max="1048" width="8.28515625" style="124" customWidth="1"/>
    <col min="1049" max="1049" width="10.85546875" style="124" customWidth="1"/>
    <col min="1050" max="1267" width="9.140625" style="124"/>
    <col min="1268" max="1268" width="5.140625" style="124" customWidth="1"/>
    <col min="1269" max="1269" width="21.42578125" style="124" customWidth="1"/>
    <col min="1270" max="1270" width="11.140625" style="124" customWidth="1"/>
    <col min="1271" max="1271" width="9.42578125" style="124" customWidth="1"/>
    <col min="1272" max="1272" width="11.85546875" style="124" customWidth="1"/>
    <col min="1273" max="1273" width="10.42578125" style="124" customWidth="1"/>
    <col min="1274" max="1274" width="9.28515625" style="124" customWidth="1"/>
    <col min="1275" max="1275" width="11.28515625" style="124" customWidth="1"/>
    <col min="1276" max="1277" width="8.28515625" style="124" customWidth="1"/>
    <col min="1278" max="1278" width="9.42578125" style="124" customWidth="1"/>
    <col min="1279" max="1279" width="10.5703125" style="124" customWidth="1"/>
    <col min="1280" max="1280" width="10.5703125" style="124" bestFit="1" customWidth="1"/>
    <col min="1281" max="1281" width="10.5703125" style="124" customWidth="1"/>
    <col min="1282" max="1282" width="8.28515625" style="124" customWidth="1"/>
    <col min="1283" max="1283" width="10.28515625" style="124" bestFit="1" customWidth="1"/>
    <col min="1284" max="1284" width="9.5703125" style="124" customWidth="1"/>
    <col min="1285" max="1290" width="8.28515625" style="124" customWidth="1"/>
    <col min="1291" max="1291" width="9.42578125" style="124" customWidth="1"/>
    <col min="1292" max="1293" width="9.28515625" style="124" customWidth="1"/>
    <col min="1294" max="1304" width="8.28515625" style="124" customWidth="1"/>
    <col min="1305" max="1305" width="10.85546875" style="124" customWidth="1"/>
    <col min="1306" max="1523" width="9.140625" style="124"/>
    <col min="1524" max="1524" width="5.140625" style="124" customWidth="1"/>
    <col min="1525" max="1525" width="21.42578125" style="124" customWidth="1"/>
    <col min="1526" max="1526" width="11.140625" style="124" customWidth="1"/>
    <col min="1527" max="1527" width="9.42578125" style="124" customWidth="1"/>
    <col min="1528" max="1528" width="11.85546875" style="124" customWidth="1"/>
    <col min="1529" max="1529" width="10.42578125" style="124" customWidth="1"/>
    <col min="1530" max="1530" width="9.28515625" style="124" customWidth="1"/>
    <col min="1531" max="1531" width="11.28515625" style="124" customWidth="1"/>
    <col min="1532" max="1533" width="8.28515625" style="124" customWidth="1"/>
    <col min="1534" max="1534" width="9.42578125" style="124" customWidth="1"/>
    <col min="1535" max="1535" width="10.5703125" style="124" customWidth="1"/>
    <col min="1536" max="1536" width="10.5703125" style="124" bestFit="1" customWidth="1"/>
    <col min="1537" max="1537" width="10.5703125" style="124" customWidth="1"/>
    <col min="1538" max="1538" width="8.28515625" style="124" customWidth="1"/>
    <col min="1539" max="1539" width="10.28515625" style="124" bestFit="1" customWidth="1"/>
    <col min="1540" max="1540" width="9.5703125" style="124" customWidth="1"/>
    <col min="1541" max="1546" width="8.28515625" style="124" customWidth="1"/>
    <col min="1547" max="1547" width="9.42578125" style="124" customWidth="1"/>
    <col min="1548" max="1549" width="9.28515625" style="124" customWidth="1"/>
    <col min="1550" max="1560" width="8.28515625" style="124" customWidth="1"/>
    <col min="1561" max="1561" width="10.85546875" style="124" customWidth="1"/>
    <col min="1562" max="1779" width="9.140625" style="124"/>
    <col min="1780" max="1780" width="5.140625" style="124" customWidth="1"/>
    <col min="1781" max="1781" width="21.42578125" style="124" customWidth="1"/>
    <col min="1782" max="1782" width="11.140625" style="124" customWidth="1"/>
    <col min="1783" max="1783" width="9.42578125" style="124" customWidth="1"/>
    <col min="1784" max="1784" width="11.85546875" style="124" customWidth="1"/>
    <col min="1785" max="1785" width="10.42578125" style="124" customWidth="1"/>
    <col min="1786" max="1786" width="9.28515625" style="124" customWidth="1"/>
    <col min="1787" max="1787" width="11.28515625" style="124" customWidth="1"/>
    <col min="1788" max="1789" width="8.28515625" style="124" customWidth="1"/>
    <col min="1790" max="1790" width="9.42578125" style="124" customWidth="1"/>
    <col min="1791" max="1791" width="10.5703125" style="124" customWidth="1"/>
    <col min="1792" max="1792" width="10.5703125" style="124" bestFit="1" customWidth="1"/>
    <col min="1793" max="1793" width="10.5703125" style="124" customWidth="1"/>
    <col min="1794" max="1794" width="8.28515625" style="124" customWidth="1"/>
    <col min="1795" max="1795" width="10.28515625" style="124" bestFit="1" customWidth="1"/>
    <col min="1796" max="1796" width="9.5703125" style="124" customWidth="1"/>
    <col min="1797" max="1802" width="8.28515625" style="124" customWidth="1"/>
    <col min="1803" max="1803" width="9.42578125" style="124" customWidth="1"/>
    <col min="1804" max="1805" width="9.28515625" style="124" customWidth="1"/>
    <col min="1806" max="1816" width="8.28515625" style="124" customWidth="1"/>
    <col min="1817" max="1817" width="10.85546875" style="124" customWidth="1"/>
    <col min="1818" max="2035" width="9.140625" style="124"/>
    <col min="2036" max="2036" width="5.140625" style="124" customWidth="1"/>
    <col min="2037" max="2037" width="21.42578125" style="124" customWidth="1"/>
    <col min="2038" max="2038" width="11.140625" style="124" customWidth="1"/>
    <col min="2039" max="2039" width="9.42578125" style="124" customWidth="1"/>
    <col min="2040" max="2040" width="11.85546875" style="124" customWidth="1"/>
    <col min="2041" max="2041" width="10.42578125" style="124" customWidth="1"/>
    <col min="2042" max="2042" width="9.28515625" style="124" customWidth="1"/>
    <col min="2043" max="2043" width="11.28515625" style="124" customWidth="1"/>
    <col min="2044" max="2045" width="8.28515625" style="124" customWidth="1"/>
    <col min="2046" max="2046" width="9.42578125" style="124" customWidth="1"/>
    <col min="2047" max="2047" width="10.5703125" style="124" customWidth="1"/>
    <col min="2048" max="2048" width="10.5703125" style="124" bestFit="1" customWidth="1"/>
    <col min="2049" max="2049" width="10.5703125" style="124" customWidth="1"/>
    <col min="2050" max="2050" width="8.28515625" style="124" customWidth="1"/>
    <col min="2051" max="2051" width="10.28515625" style="124" bestFit="1" customWidth="1"/>
    <col min="2052" max="2052" width="9.5703125" style="124" customWidth="1"/>
    <col min="2053" max="2058" width="8.28515625" style="124" customWidth="1"/>
    <col min="2059" max="2059" width="9.42578125" style="124" customWidth="1"/>
    <col min="2060" max="2061" width="9.28515625" style="124" customWidth="1"/>
    <col min="2062" max="2072" width="8.28515625" style="124" customWidth="1"/>
    <col min="2073" max="2073" width="10.85546875" style="124" customWidth="1"/>
    <col min="2074" max="2291" width="9.140625" style="124"/>
    <col min="2292" max="2292" width="5.140625" style="124" customWidth="1"/>
    <col min="2293" max="2293" width="21.42578125" style="124" customWidth="1"/>
    <col min="2294" max="2294" width="11.140625" style="124" customWidth="1"/>
    <col min="2295" max="2295" width="9.42578125" style="124" customWidth="1"/>
    <col min="2296" max="2296" width="11.85546875" style="124" customWidth="1"/>
    <col min="2297" max="2297" width="10.42578125" style="124" customWidth="1"/>
    <col min="2298" max="2298" width="9.28515625" style="124" customWidth="1"/>
    <col min="2299" max="2299" width="11.28515625" style="124" customWidth="1"/>
    <col min="2300" max="2301" width="8.28515625" style="124" customWidth="1"/>
    <col min="2302" max="2302" width="9.42578125" style="124" customWidth="1"/>
    <col min="2303" max="2303" width="10.5703125" style="124" customWidth="1"/>
    <col min="2304" max="2304" width="10.5703125" style="124" bestFit="1" customWidth="1"/>
    <col min="2305" max="2305" width="10.5703125" style="124" customWidth="1"/>
    <col min="2306" max="2306" width="8.28515625" style="124" customWidth="1"/>
    <col min="2307" max="2307" width="10.28515625" style="124" bestFit="1" customWidth="1"/>
    <col min="2308" max="2308" width="9.5703125" style="124" customWidth="1"/>
    <col min="2309" max="2314" width="8.28515625" style="124" customWidth="1"/>
    <col min="2315" max="2315" width="9.42578125" style="124" customWidth="1"/>
    <col min="2316" max="2317" width="9.28515625" style="124" customWidth="1"/>
    <col min="2318" max="2328" width="8.28515625" style="124" customWidth="1"/>
    <col min="2329" max="2329" width="10.85546875" style="124" customWidth="1"/>
    <col min="2330" max="2547" width="9.140625" style="124"/>
    <col min="2548" max="2548" width="5.140625" style="124" customWidth="1"/>
    <col min="2549" max="2549" width="21.42578125" style="124" customWidth="1"/>
    <col min="2550" max="2550" width="11.140625" style="124" customWidth="1"/>
    <col min="2551" max="2551" width="9.42578125" style="124" customWidth="1"/>
    <col min="2552" max="2552" width="11.85546875" style="124" customWidth="1"/>
    <col min="2553" max="2553" width="10.42578125" style="124" customWidth="1"/>
    <col min="2554" max="2554" width="9.28515625" style="124" customWidth="1"/>
    <col min="2555" max="2555" width="11.28515625" style="124" customWidth="1"/>
    <col min="2556" max="2557" width="8.28515625" style="124" customWidth="1"/>
    <col min="2558" max="2558" width="9.42578125" style="124" customWidth="1"/>
    <col min="2559" max="2559" width="10.5703125" style="124" customWidth="1"/>
    <col min="2560" max="2560" width="10.5703125" style="124" bestFit="1" customWidth="1"/>
    <col min="2561" max="2561" width="10.5703125" style="124" customWidth="1"/>
    <col min="2562" max="2562" width="8.28515625" style="124" customWidth="1"/>
    <col min="2563" max="2563" width="10.28515625" style="124" bestFit="1" customWidth="1"/>
    <col min="2564" max="2564" width="9.5703125" style="124" customWidth="1"/>
    <col min="2565" max="2570" width="8.28515625" style="124" customWidth="1"/>
    <col min="2571" max="2571" width="9.42578125" style="124" customWidth="1"/>
    <col min="2572" max="2573" width="9.28515625" style="124" customWidth="1"/>
    <col min="2574" max="2584" width="8.28515625" style="124" customWidth="1"/>
    <col min="2585" max="2585" width="10.85546875" style="124" customWidth="1"/>
    <col min="2586" max="2803" width="9.140625" style="124"/>
    <col min="2804" max="2804" width="5.140625" style="124" customWidth="1"/>
    <col min="2805" max="2805" width="21.42578125" style="124" customWidth="1"/>
    <col min="2806" max="2806" width="11.140625" style="124" customWidth="1"/>
    <col min="2807" max="2807" width="9.42578125" style="124" customWidth="1"/>
    <col min="2808" max="2808" width="11.85546875" style="124" customWidth="1"/>
    <col min="2809" max="2809" width="10.42578125" style="124" customWidth="1"/>
    <col min="2810" max="2810" width="9.28515625" style="124" customWidth="1"/>
    <col min="2811" max="2811" width="11.28515625" style="124" customWidth="1"/>
    <col min="2812" max="2813" width="8.28515625" style="124" customWidth="1"/>
    <col min="2814" max="2814" width="9.42578125" style="124" customWidth="1"/>
    <col min="2815" max="2815" width="10.5703125" style="124" customWidth="1"/>
    <col min="2816" max="2816" width="10.5703125" style="124" bestFit="1" customWidth="1"/>
    <col min="2817" max="2817" width="10.5703125" style="124" customWidth="1"/>
    <col min="2818" max="2818" width="8.28515625" style="124" customWidth="1"/>
    <col min="2819" max="2819" width="10.28515625" style="124" bestFit="1" customWidth="1"/>
    <col min="2820" max="2820" width="9.5703125" style="124" customWidth="1"/>
    <col min="2821" max="2826" width="8.28515625" style="124" customWidth="1"/>
    <col min="2827" max="2827" width="9.42578125" style="124" customWidth="1"/>
    <col min="2828" max="2829" width="9.28515625" style="124" customWidth="1"/>
    <col min="2830" max="2840" width="8.28515625" style="124" customWidth="1"/>
    <col min="2841" max="2841" width="10.85546875" style="124" customWidth="1"/>
    <col min="2842" max="3059" width="9.140625" style="124"/>
    <col min="3060" max="3060" width="5.140625" style="124" customWidth="1"/>
    <col min="3061" max="3061" width="21.42578125" style="124" customWidth="1"/>
    <col min="3062" max="3062" width="11.140625" style="124" customWidth="1"/>
    <col min="3063" max="3063" width="9.42578125" style="124" customWidth="1"/>
    <col min="3064" max="3064" width="11.85546875" style="124" customWidth="1"/>
    <col min="3065" max="3065" width="10.42578125" style="124" customWidth="1"/>
    <col min="3066" max="3066" width="9.28515625" style="124" customWidth="1"/>
    <col min="3067" max="3067" width="11.28515625" style="124" customWidth="1"/>
    <col min="3068" max="3069" width="8.28515625" style="124" customWidth="1"/>
    <col min="3070" max="3070" width="9.42578125" style="124" customWidth="1"/>
    <col min="3071" max="3071" width="10.5703125" style="124" customWidth="1"/>
    <col min="3072" max="3072" width="10.5703125" style="124" bestFit="1" customWidth="1"/>
    <col min="3073" max="3073" width="10.5703125" style="124" customWidth="1"/>
    <col min="3074" max="3074" width="8.28515625" style="124" customWidth="1"/>
    <col min="3075" max="3075" width="10.28515625" style="124" bestFit="1" customWidth="1"/>
    <col min="3076" max="3076" width="9.5703125" style="124" customWidth="1"/>
    <col min="3077" max="3082" width="8.28515625" style="124" customWidth="1"/>
    <col min="3083" max="3083" width="9.42578125" style="124" customWidth="1"/>
    <col min="3084" max="3085" width="9.28515625" style="124" customWidth="1"/>
    <col min="3086" max="3096" width="8.28515625" style="124" customWidth="1"/>
    <col min="3097" max="3097" width="10.85546875" style="124" customWidth="1"/>
    <col min="3098" max="3315" width="9.140625" style="124"/>
    <col min="3316" max="3316" width="5.140625" style="124" customWidth="1"/>
    <col min="3317" max="3317" width="21.42578125" style="124" customWidth="1"/>
    <col min="3318" max="3318" width="11.140625" style="124" customWidth="1"/>
    <col min="3319" max="3319" width="9.42578125" style="124" customWidth="1"/>
    <col min="3320" max="3320" width="11.85546875" style="124" customWidth="1"/>
    <col min="3321" max="3321" width="10.42578125" style="124" customWidth="1"/>
    <col min="3322" max="3322" width="9.28515625" style="124" customWidth="1"/>
    <col min="3323" max="3323" width="11.28515625" style="124" customWidth="1"/>
    <col min="3324" max="3325" width="8.28515625" style="124" customWidth="1"/>
    <col min="3326" max="3326" width="9.42578125" style="124" customWidth="1"/>
    <col min="3327" max="3327" width="10.5703125" style="124" customWidth="1"/>
    <col min="3328" max="3328" width="10.5703125" style="124" bestFit="1" customWidth="1"/>
    <col min="3329" max="3329" width="10.5703125" style="124" customWidth="1"/>
    <col min="3330" max="3330" width="8.28515625" style="124" customWidth="1"/>
    <col min="3331" max="3331" width="10.28515625" style="124" bestFit="1" customWidth="1"/>
    <col min="3332" max="3332" width="9.5703125" style="124" customWidth="1"/>
    <col min="3333" max="3338" width="8.28515625" style="124" customWidth="1"/>
    <col min="3339" max="3339" width="9.42578125" style="124" customWidth="1"/>
    <col min="3340" max="3341" width="9.28515625" style="124" customWidth="1"/>
    <col min="3342" max="3352" width="8.28515625" style="124" customWidth="1"/>
    <col min="3353" max="3353" width="10.85546875" style="124" customWidth="1"/>
    <col min="3354" max="3571" width="9.140625" style="124"/>
    <col min="3572" max="3572" width="5.140625" style="124" customWidth="1"/>
    <col min="3573" max="3573" width="21.42578125" style="124" customWidth="1"/>
    <col min="3574" max="3574" width="11.140625" style="124" customWidth="1"/>
    <col min="3575" max="3575" width="9.42578125" style="124" customWidth="1"/>
    <col min="3576" max="3576" width="11.85546875" style="124" customWidth="1"/>
    <col min="3577" max="3577" width="10.42578125" style="124" customWidth="1"/>
    <col min="3578" max="3578" width="9.28515625" style="124" customWidth="1"/>
    <col min="3579" max="3579" width="11.28515625" style="124" customWidth="1"/>
    <col min="3580" max="3581" width="8.28515625" style="124" customWidth="1"/>
    <col min="3582" max="3582" width="9.42578125" style="124" customWidth="1"/>
    <col min="3583" max="3583" width="10.5703125" style="124" customWidth="1"/>
    <col min="3584" max="3584" width="10.5703125" style="124" bestFit="1" customWidth="1"/>
    <col min="3585" max="3585" width="10.5703125" style="124" customWidth="1"/>
    <col min="3586" max="3586" width="8.28515625" style="124" customWidth="1"/>
    <col min="3587" max="3587" width="10.28515625" style="124" bestFit="1" customWidth="1"/>
    <col min="3588" max="3588" width="9.5703125" style="124" customWidth="1"/>
    <col min="3589" max="3594" width="8.28515625" style="124" customWidth="1"/>
    <col min="3595" max="3595" width="9.42578125" style="124" customWidth="1"/>
    <col min="3596" max="3597" width="9.28515625" style="124" customWidth="1"/>
    <col min="3598" max="3608" width="8.28515625" style="124" customWidth="1"/>
    <col min="3609" max="3609" width="10.85546875" style="124" customWidth="1"/>
    <col min="3610" max="3827" width="9.140625" style="124"/>
    <col min="3828" max="3828" width="5.140625" style="124" customWidth="1"/>
    <col min="3829" max="3829" width="21.42578125" style="124" customWidth="1"/>
    <col min="3830" max="3830" width="11.140625" style="124" customWidth="1"/>
    <col min="3831" max="3831" width="9.42578125" style="124" customWidth="1"/>
    <col min="3832" max="3832" width="11.85546875" style="124" customWidth="1"/>
    <col min="3833" max="3833" width="10.42578125" style="124" customWidth="1"/>
    <col min="3834" max="3834" width="9.28515625" style="124" customWidth="1"/>
    <col min="3835" max="3835" width="11.28515625" style="124" customWidth="1"/>
    <col min="3836" max="3837" width="8.28515625" style="124" customWidth="1"/>
    <col min="3838" max="3838" width="9.42578125" style="124" customWidth="1"/>
    <col min="3839" max="3839" width="10.5703125" style="124" customWidth="1"/>
    <col min="3840" max="3840" width="10.5703125" style="124" bestFit="1" customWidth="1"/>
    <col min="3841" max="3841" width="10.5703125" style="124" customWidth="1"/>
    <col min="3842" max="3842" width="8.28515625" style="124" customWidth="1"/>
    <col min="3843" max="3843" width="10.28515625" style="124" bestFit="1" customWidth="1"/>
    <col min="3844" max="3844" width="9.5703125" style="124" customWidth="1"/>
    <col min="3845" max="3850" width="8.28515625" style="124" customWidth="1"/>
    <col min="3851" max="3851" width="9.42578125" style="124" customWidth="1"/>
    <col min="3852" max="3853" width="9.28515625" style="124" customWidth="1"/>
    <col min="3854" max="3864" width="8.28515625" style="124" customWidth="1"/>
    <col min="3865" max="3865" width="10.85546875" style="124" customWidth="1"/>
    <col min="3866" max="4083" width="9.140625" style="124"/>
    <col min="4084" max="4084" width="5.140625" style="124" customWidth="1"/>
    <col min="4085" max="4085" width="21.42578125" style="124" customWidth="1"/>
    <col min="4086" max="4086" width="11.140625" style="124" customWidth="1"/>
    <col min="4087" max="4087" width="9.42578125" style="124" customWidth="1"/>
    <col min="4088" max="4088" width="11.85546875" style="124" customWidth="1"/>
    <col min="4089" max="4089" width="10.42578125" style="124" customWidth="1"/>
    <col min="4090" max="4090" width="9.28515625" style="124" customWidth="1"/>
    <col min="4091" max="4091" width="11.28515625" style="124" customWidth="1"/>
    <col min="4092" max="4093" width="8.28515625" style="124" customWidth="1"/>
    <col min="4094" max="4094" width="9.42578125" style="124" customWidth="1"/>
    <col min="4095" max="4095" width="10.5703125" style="124" customWidth="1"/>
    <col min="4096" max="4096" width="10.5703125" style="124" bestFit="1" customWidth="1"/>
    <col min="4097" max="4097" width="10.5703125" style="124" customWidth="1"/>
    <col min="4098" max="4098" width="8.28515625" style="124" customWidth="1"/>
    <col min="4099" max="4099" width="10.28515625" style="124" bestFit="1" customWidth="1"/>
    <col min="4100" max="4100" width="9.5703125" style="124" customWidth="1"/>
    <col min="4101" max="4106" width="8.28515625" style="124" customWidth="1"/>
    <col min="4107" max="4107" width="9.42578125" style="124" customWidth="1"/>
    <col min="4108" max="4109" width="9.28515625" style="124" customWidth="1"/>
    <col min="4110" max="4120" width="8.28515625" style="124" customWidth="1"/>
    <col min="4121" max="4121" width="10.85546875" style="124" customWidth="1"/>
    <col min="4122" max="4339" width="9.140625" style="124"/>
    <col min="4340" max="4340" width="5.140625" style="124" customWidth="1"/>
    <col min="4341" max="4341" width="21.42578125" style="124" customWidth="1"/>
    <col min="4342" max="4342" width="11.140625" style="124" customWidth="1"/>
    <col min="4343" max="4343" width="9.42578125" style="124" customWidth="1"/>
    <col min="4344" max="4344" width="11.85546875" style="124" customWidth="1"/>
    <col min="4345" max="4345" width="10.42578125" style="124" customWidth="1"/>
    <col min="4346" max="4346" width="9.28515625" style="124" customWidth="1"/>
    <col min="4347" max="4347" width="11.28515625" style="124" customWidth="1"/>
    <col min="4348" max="4349" width="8.28515625" style="124" customWidth="1"/>
    <col min="4350" max="4350" width="9.42578125" style="124" customWidth="1"/>
    <col min="4351" max="4351" width="10.5703125" style="124" customWidth="1"/>
    <col min="4352" max="4352" width="10.5703125" style="124" bestFit="1" customWidth="1"/>
    <col min="4353" max="4353" width="10.5703125" style="124" customWidth="1"/>
    <col min="4354" max="4354" width="8.28515625" style="124" customWidth="1"/>
    <col min="4355" max="4355" width="10.28515625" style="124" bestFit="1" customWidth="1"/>
    <col min="4356" max="4356" width="9.5703125" style="124" customWidth="1"/>
    <col min="4357" max="4362" width="8.28515625" style="124" customWidth="1"/>
    <col min="4363" max="4363" width="9.42578125" style="124" customWidth="1"/>
    <col min="4364" max="4365" width="9.28515625" style="124" customWidth="1"/>
    <col min="4366" max="4376" width="8.28515625" style="124" customWidth="1"/>
    <col min="4377" max="4377" width="10.85546875" style="124" customWidth="1"/>
    <col min="4378" max="4595" width="9.140625" style="124"/>
    <col min="4596" max="4596" width="5.140625" style="124" customWidth="1"/>
    <col min="4597" max="4597" width="21.42578125" style="124" customWidth="1"/>
    <col min="4598" max="4598" width="11.140625" style="124" customWidth="1"/>
    <col min="4599" max="4599" width="9.42578125" style="124" customWidth="1"/>
    <col min="4600" max="4600" width="11.85546875" style="124" customWidth="1"/>
    <col min="4601" max="4601" width="10.42578125" style="124" customWidth="1"/>
    <col min="4602" max="4602" width="9.28515625" style="124" customWidth="1"/>
    <col min="4603" max="4603" width="11.28515625" style="124" customWidth="1"/>
    <col min="4604" max="4605" width="8.28515625" style="124" customWidth="1"/>
    <col min="4606" max="4606" width="9.42578125" style="124" customWidth="1"/>
    <col min="4607" max="4607" width="10.5703125" style="124" customWidth="1"/>
    <col min="4608" max="4608" width="10.5703125" style="124" bestFit="1" customWidth="1"/>
    <col min="4609" max="4609" width="10.5703125" style="124" customWidth="1"/>
    <col min="4610" max="4610" width="8.28515625" style="124" customWidth="1"/>
    <col min="4611" max="4611" width="10.28515625" style="124" bestFit="1" customWidth="1"/>
    <col min="4612" max="4612" width="9.5703125" style="124" customWidth="1"/>
    <col min="4613" max="4618" width="8.28515625" style="124" customWidth="1"/>
    <col min="4619" max="4619" width="9.42578125" style="124" customWidth="1"/>
    <col min="4620" max="4621" width="9.28515625" style="124" customWidth="1"/>
    <col min="4622" max="4632" width="8.28515625" style="124" customWidth="1"/>
    <col min="4633" max="4633" width="10.85546875" style="124" customWidth="1"/>
    <col min="4634" max="4851" width="9.140625" style="124"/>
    <col min="4852" max="4852" width="5.140625" style="124" customWidth="1"/>
    <col min="4853" max="4853" width="21.42578125" style="124" customWidth="1"/>
    <col min="4854" max="4854" width="11.140625" style="124" customWidth="1"/>
    <col min="4855" max="4855" width="9.42578125" style="124" customWidth="1"/>
    <col min="4856" max="4856" width="11.85546875" style="124" customWidth="1"/>
    <col min="4857" max="4857" width="10.42578125" style="124" customWidth="1"/>
    <col min="4858" max="4858" width="9.28515625" style="124" customWidth="1"/>
    <col min="4859" max="4859" width="11.28515625" style="124" customWidth="1"/>
    <col min="4860" max="4861" width="8.28515625" style="124" customWidth="1"/>
    <col min="4862" max="4862" width="9.42578125" style="124" customWidth="1"/>
    <col min="4863" max="4863" width="10.5703125" style="124" customWidth="1"/>
    <col min="4864" max="4864" width="10.5703125" style="124" bestFit="1" customWidth="1"/>
    <col min="4865" max="4865" width="10.5703125" style="124" customWidth="1"/>
    <col min="4866" max="4866" width="8.28515625" style="124" customWidth="1"/>
    <col min="4867" max="4867" width="10.28515625" style="124" bestFit="1" customWidth="1"/>
    <col min="4868" max="4868" width="9.5703125" style="124" customWidth="1"/>
    <col min="4869" max="4874" width="8.28515625" style="124" customWidth="1"/>
    <col min="4875" max="4875" width="9.42578125" style="124" customWidth="1"/>
    <col min="4876" max="4877" width="9.28515625" style="124" customWidth="1"/>
    <col min="4878" max="4888" width="8.28515625" style="124" customWidth="1"/>
    <col min="4889" max="4889" width="10.85546875" style="124" customWidth="1"/>
    <col min="4890" max="5107" width="9.140625" style="124"/>
    <col min="5108" max="5108" width="5.140625" style="124" customWidth="1"/>
    <col min="5109" max="5109" width="21.42578125" style="124" customWidth="1"/>
    <col min="5110" max="5110" width="11.140625" style="124" customWidth="1"/>
    <col min="5111" max="5111" width="9.42578125" style="124" customWidth="1"/>
    <col min="5112" max="5112" width="11.85546875" style="124" customWidth="1"/>
    <col min="5113" max="5113" width="10.42578125" style="124" customWidth="1"/>
    <col min="5114" max="5114" width="9.28515625" style="124" customWidth="1"/>
    <col min="5115" max="5115" width="11.28515625" style="124" customWidth="1"/>
    <col min="5116" max="5117" width="8.28515625" style="124" customWidth="1"/>
    <col min="5118" max="5118" width="9.42578125" style="124" customWidth="1"/>
    <col min="5119" max="5119" width="10.5703125" style="124" customWidth="1"/>
    <col min="5120" max="5120" width="10.5703125" style="124" bestFit="1" customWidth="1"/>
    <col min="5121" max="5121" width="10.5703125" style="124" customWidth="1"/>
    <col min="5122" max="5122" width="8.28515625" style="124" customWidth="1"/>
    <col min="5123" max="5123" width="10.28515625" style="124" bestFit="1" customWidth="1"/>
    <col min="5124" max="5124" width="9.5703125" style="124" customWidth="1"/>
    <col min="5125" max="5130" width="8.28515625" style="124" customWidth="1"/>
    <col min="5131" max="5131" width="9.42578125" style="124" customWidth="1"/>
    <col min="5132" max="5133" width="9.28515625" style="124" customWidth="1"/>
    <col min="5134" max="5144" width="8.28515625" style="124" customWidth="1"/>
    <col min="5145" max="5145" width="10.85546875" style="124" customWidth="1"/>
    <col min="5146" max="5363" width="9.140625" style="124"/>
    <col min="5364" max="5364" width="5.140625" style="124" customWidth="1"/>
    <col min="5365" max="5365" width="21.42578125" style="124" customWidth="1"/>
    <col min="5366" max="5366" width="11.140625" style="124" customWidth="1"/>
    <col min="5367" max="5367" width="9.42578125" style="124" customWidth="1"/>
    <col min="5368" max="5368" width="11.85546875" style="124" customWidth="1"/>
    <col min="5369" max="5369" width="10.42578125" style="124" customWidth="1"/>
    <col min="5370" max="5370" width="9.28515625" style="124" customWidth="1"/>
    <col min="5371" max="5371" width="11.28515625" style="124" customWidth="1"/>
    <col min="5372" max="5373" width="8.28515625" style="124" customWidth="1"/>
    <col min="5374" max="5374" width="9.42578125" style="124" customWidth="1"/>
    <col min="5375" max="5375" width="10.5703125" style="124" customWidth="1"/>
    <col min="5376" max="5376" width="10.5703125" style="124" bestFit="1" customWidth="1"/>
    <col min="5377" max="5377" width="10.5703125" style="124" customWidth="1"/>
    <col min="5378" max="5378" width="8.28515625" style="124" customWidth="1"/>
    <col min="5379" max="5379" width="10.28515625" style="124" bestFit="1" customWidth="1"/>
    <col min="5380" max="5380" width="9.5703125" style="124" customWidth="1"/>
    <col min="5381" max="5386" width="8.28515625" style="124" customWidth="1"/>
    <col min="5387" max="5387" width="9.42578125" style="124" customWidth="1"/>
    <col min="5388" max="5389" width="9.28515625" style="124" customWidth="1"/>
    <col min="5390" max="5400" width="8.28515625" style="124" customWidth="1"/>
    <col min="5401" max="5401" width="10.85546875" style="124" customWidth="1"/>
    <col min="5402" max="5619" width="9.140625" style="124"/>
    <col min="5620" max="5620" width="5.140625" style="124" customWidth="1"/>
    <col min="5621" max="5621" width="21.42578125" style="124" customWidth="1"/>
    <col min="5622" max="5622" width="11.140625" style="124" customWidth="1"/>
    <col min="5623" max="5623" width="9.42578125" style="124" customWidth="1"/>
    <col min="5624" max="5624" width="11.85546875" style="124" customWidth="1"/>
    <col min="5625" max="5625" width="10.42578125" style="124" customWidth="1"/>
    <col min="5626" max="5626" width="9.28515625" style="124" customWidth="1"/>
    <col min="5627" max="5627" width="11.28515625" style="124" customWidth="1"/>
    <col min="5628" max="5629" width="8.28515625" style="124" customWidth="1"/>
    <col min="5630" max="5630" width="9.42578125" style="124" customWidth="1"/>
    <col min="5631" max="5631" width="10.5703125" style="124" customWidth="1"/>
    <col min="5632" max="5632" width="10.5703125" style="124" bestFit="1" customWidth="1"/>
    <col min="5633" max="5633" width="10.5703125" style="124" customWidth="1"/>
    <col min="5634" max="5634" width="8.28515625" style="124" customWidth="1"/>
    <col min="5635" max="5635" width="10.28515625" style="124" bestFit="1" customWidth="1"/>
    <col min="5636" max="5636" width="9.5703125" style="124" customWidth="1"/>
    <col min="5637" max="5642" width="8.28515625" style="124" customWidth="1"/>
    <col min="5643" max="5643" width="9.42578125" style="124" customWidth="1"/>
    <col min="5644" max="5645" width="9.28515625" style="124" customWidth="1"/>
    <col min="5646" max="5656" width="8.28515625" style="124" customWidth="1"/>
    <col min="5657" max="5657" width="10.85546875" style="124" customWidth="1"/>
    <col min="5658" max="5875" width="9.140625" style="124"/>
    <col min="5876" max="5876" width="5.140625" style="124" customWidth="1"/>
    <col min="5877" max="5877" width="21.42578125" style="124" customWidth="1"/>
    <col min="5878" max="5878" width="11.140625" style="124" customWidth="1"/>
    <col min="5879" max="5879" width="9.42578125" style="124" customWidth="1"/>
    <col min="5880" max="5880" width="11.85546875" style="124" customWidth="1"/>
    <col min="5881" max="5881" width="10.42578125" style="124" customWidth="1"/>
    <col min="5882" max="5882" width="9.28515625" style="124" customWidth="1"/>
    <col min="5883" max="5883" width="11.28515625" style="124" customWidth="1"/>
    <col min="5884" max="5885" width="8.28515625" style="124" customWidth="1"/>
    <col min="5886" max="5886" width="9.42578125" style="124" customWidth="1"/>
    <col min="5887" max="5887" width="10.5703125" style="124" customWidth="1"/>
    <col min="5888" max="5888" width="10.5703125" style="124" bestFit="1" customWidth="1"/>
    <col min="5889" max="5889" width="10.5703125" style="124" customWidth="1"/>
    <col min="5890" max="5890" width="8.28515625" style="124" customWidth="1"/>
    <col min="5891" max="5891" width="10.28515625" style="124" bestFit="1" customWidth="1"/>
    <col min="5892" max="5892" width="9.5703125" style="124" customWidth="1"/>
    <col min="5893" max="5898" width="8.28515625" style="124" customWidth="1"/>
    <col min="5899" max="5899" width="9.42578125" style="124" customWidth="1"/>
    <col min="5900" max="5901" width="9.28515625" style="124" customWidth="1"/>
    <col min="5902" max="5912" width="8.28515625" style="124" customWidth="1"/>
    <col min="5913" max="5913" width="10.85546875" style="124" customWidth="1"/>
    <col min="5914" max="6131" width="9.140625" style="124"/>
    <col min="6132" max="6132" width="5.140625" style="124" customWidth="1"/>
    <col min="6133" max="6133" width="21.42578125" style="124" customWidth="1"/>
    <col min="6134" max="6134" width="11.140625" style="124" customWidth="1"/>
    <col min="6135" max="6135" width="9.42578125" style="124" customWidth="1"/>
    <col min="6136" max="6136" width="11.85546875" style="124" customWidth="1"/>
    <col min="6137" max="6137" width="10.42578125" style="124" customWidth="1"/>
    <col min="6138" max="6138" width="9.28515625" style="124" customWidth="1"/>
    <col min="6139" max="6139" width="11.28515625" style="124" customWidth="1"/>
    <col min="6140" max="6141" width="8.28515625" style="124" customWidth="1"/>
    <col min="6142" max="6142" width="9.42578125" style="124" customWidth="1"/>
    <col min="6143" max="6143" width="10.5703125" style="124" customWidth="1"/>
    <col min="6144" max="6144" width="10.5703125" style="124" bestFit="1" customWidth="1"/>
    <col min="6145" max="6145" width="10.5703125" style="124" customWidth="1"/>
    <col min="6146" max="6146" width="8.28515625" style="124" customWidth="1"/>
    <col min="6147" max="6147" width="10.28515625" style="124" bestFit="1" customWidth="1"/>
    <col min="6148" max="6148" width="9.5703125" style="124" customWidth="1"/>
    <col min="6149" max="6154" width="8.28515625" style="124" customWidth="1"/>
    <col min="6155" max="6155" width="9.42578125" style="124" customWidth="1"/>
    <col min="6156" max="6157" width="9.28515625" style="124" customWidth="1"/>
    <col min="6158" max="6168" width="8.28515625" style="124" customWidth="1"/>
    <col min="6169" max="6169" width="10.85546875" style="124" customWidth="1"/>
    <col min="6170" max="6387" width="9.140625" style="124"/>
    <col min="6388" max="6388" width="5.140625" style="124" customWidth="1"/>
    <col min="6389" max="6389" width="21.42578125" style="124" customWidth="1"/>
    <col min="6390" max="6390" width="11.140625" style="124" customWidth="1"/>
    <col min="6391" max="6391" width="9.42578125" style="124" customWidth="1"/>
    <col min="6392" max="6392" width="11.85546875" style="124" customWidth="1"/>
    <col min="6393" max="6393" width="10.42578125" style="124" customWidth="1"/>
    <col min="6394" max="6394" width="9.28515625" style="124" customWidth="1"/>
    <col min="6395" max="6395" width="11.28515625" style="124" customWidth="1"/>
    <col min="6396" max="6397" width="8.28515625" style="124" customWidth="1"/>
    <col min="6398" max="6398" width="9.42578125" style="124" customWidth="1"/>
    <col min="6399" max="6399" width="10.5703125" style="124" customWidth="1"/>
    <col min="6400" max="6400" width="10.5703125" style="124" bestFit="1" customWidth="1"/>
    <col min="6401" max="6401" width="10.5703125" style="124" customWidth="1"/>
    <col min="6402" max="6402" width="8.28515625" style="124" customWidth="1"/>
    <col min="6403" max="6403" width="10.28515625" style="124" bestFit="1" customWidth="1"/>
    <col min="6404" max="6404" width="9.5703125" style="124" customWidth="1"/>
    <col min="6405" max="6410" width="8.28515625" style="124" customWidth="1"/>
    <col min="6411" max="6411" width="9.42578125" style="124" customWidth="1"/>
    <col min="6412" max="6413" width="9.28515625" style="124" customWidth="1"/>
    <col min="6414" max="6424" width="8.28515625" style="124" customWidth="1"/>
    <col min="6425" max="6425" width="10.85546875" style="124" customWidth="1"/>
    <col min="6426" max="6643" width="9.140625" style="124"/>
    <col min="6644" max="6644" width="5.140625" style="124" customWidth="1"/>
    <col min="6645" max="6645" width="21.42578125" style="124" customWidth="1"/>
    <col min="6646" max="6646" width="11.140625" style="124" customWidth="1"/>
    <col min="6647" max="6647" width="9.42578125" style="124" customWidth="1"/>
    <col min="6648" max="6648" width="11.85546875" style="124" customWidth="1"/>
    <col min="6649" max="6649" width="10.42578125" style="124" customWidth="1"/>
    <col min="6650" max="6650" width="9.28515625" style="124" customWidth="1"/>
    <col min="6651" max="6651" width="11.28515625" style="124" customWidth="1"/>
    <col min="6652" max="6653" width="8.28515625" style="124" customWidth="1"/>
    <col min="6654" max="6654" width="9.42578125" style="124" customWidth="1"/>
    <col min="6655" max="6655" width="10.5703125" style="124" customWidth="1"/>
    <col min="6656" max="6656" width="10.5703125" style="124" bestFit="1" customWidth="1"/>
    <col min="6657" max="6657" width="10.5703125" style="124" customWidth="1"/>
    <col min="6658" max="6658" width="8.28515625" style="124" customWidth="1"/>
    <col min="6659" max="6659" width="10.28515625" style="124" bestFit="1" customWidth="1"/>
    <col min="6660" max="6660" width="9.5703125" style="124" customWidth="1"/>
    <col min="6661" max="6666" width="8.28515625" style="124" customWidth="1"/>
    <col min="6667" max="6667" width="9.42578125" style="124" customWidth="1"/>
    <col min="6668" max="6669" width="9.28515625" style="124" customWidth="1"/>
    <col min="6670" max="6680" width="8.28515625" style="124" customWidth="1"/>
    <col min="6681" max="6681" width="10.85546875" style="124" customWidth="1"/>
    <col min="6682" max="6899" width="9.140625" style="124"/>
    <col min="6900" max="6900" width="5.140625" style="124" customWidth="1"/>
    <col min="6901" max="6901" width="21.42578125" style="124" customWidth="1"/>
    <col min="6902" max="6902" width="11.140625" style="124" customWidth="1"/>
    <col min="6903" max="6903" width="9.42578125" style="124" customWidth="1"/>
    <col min="6904" max="6904" width="11.85546875" style="124" customWidth="1"/>
    <col min="6905" max="6905" width="10.42578125" style="124" customWidth="1"/>
    <col min="6906" max="6906" width="9.28515625" style="124" customWidth="1"/>
    <col min="6907" max="6907" width="11.28515625" style="124" customWidth="1"/>
    <col min="6908" max="6909" width="8.28515625" style="124" customWidth="1"/>
    <col min="6910" max="6910" width="9.42578125" style="124" customWidth="1"/>
    <col min="6911" max="6911" width="10.5703125" style="124" customWidth="1"/>
    <col min="6912" max="6912" width="10.5703125" style="124" bestFit="1" customWidth="1"/>
    <col min="6913" max="6913" width="10.5703125" style="124" customWidth="1"/>
    <col min="6914" max="6914" width="8.28515625" style="124" customWidth="1"/>
    <col min="6915" max="6915" width="10.28515625" style="124" bestFit="1" customWidth="1"/>
    <col min="6916" max="6916" width="9.5703125" style="124" customWidth="1"/>
    <col min="6917" max="6922" width="8.28515625" style="124" customWidth="1"/>
    <col min="6923" max="6923" width="9.42578125" style="124" customWidth="1"/>
    <col min="6924" max="6925" width="9.28515625" style="124" customWidth="1"/>
    <col min="6926" max="6936" width="8.28515625" style="124" customWidth="1"/>
    <col min="6937" max="6937" width="10.85546875" style="124" customWidth="1"/>
    <col min="6938" max="7155" width="9.140625" style="124"/>
    <col min="7156" max="7156" width="5.140625" style="124" customWidth="1"/>
    <col min="7157" max="7157" width="21.42578125" style="124" customWidth="1"/>
    <col min="7158" max="7158" width="11.140625" style="124" customWidth="1"/>
    <col min="7159" max="7159" width="9.42578125" style="124" customWidth="1"/>
    <col min="7160" max="7160" width="11.85546875" style="124" customWidth="1"/>
    <col min="7161" max="7161" width="10.42578125" style="124" customWidth="1"/>
    <col min="7162" max="7162" width="9.28515625" style="124" customWidth="1"/>
    <col min="7163" max="7163" width="11.28515625" style="124" customWidth="1"/>
    <col min="7164" max="7165" width="8.28515625" style="124" customWidth="1"/>
    <col min="7166" max="7166" width="9.42578125" style="124" customWidth="1"/>
    <col min="7167" max="7167" width="10.5703125" style="124" customWidth="1"/>
    <col min="7168" max="7168" width="10.5703125" style="124" bestFit="1" customWidth="1"/>
    <col min="7169" max="7169" width="10.5703125" style="124" customWidth="1"/>
    <col min="7170" max="7170" width="8.28515625" style="124" customWidth="1"/>
    <col min="7171" max="7171" width="10.28515625" style="124" bestFit="1" customWidth="1"/>
    <col min="7172" max="7172" width="9.5703125" style="124" customWidth="1"/>
    <col min="7173" max="7178" width="8.28515625" style="124" customWidth="1"/>
    <col min="7179" max="7179" width="9.42578125" style="124" customWidth="1"/>
    <col min="7180" max="7181" width="9.28515625" style="124" customWidth="1"/>
    <col min="7182" max="7192" width="8.28515625" style="124" customWidth="1"/>
    <col min="7193" max="7193" width="10.85546875" style="124" customWidth="1"/>
    <col min="7194" max="7411" width="9.140625" style="124"/>
    <col min="7412" max="7412" width="5.140625" style="124" customWidth="1"/>
    <col min="7413" max="7413" width="21.42578125" style="124" customWidth="1"/>
    <col min="7414" max="7414" width="11.140625" style="124" customWidth="1"/>
    <col min="7415" max="7415" width="9.42578125" style="124" customWidth="1"/>
    <col min="7416" max="7416" width="11.85546875" style="124" customWidth="1"/>
    <col min="7417" max="7417" width="10.42578125" style="124" customWidth="1"/>
    <col min="7418" max="7418" width="9.28515625" style="124" customWidth="1"/>
    <col min="7419" max="7419" width="11.28515625" style="124" customWidth="1"/>
    <col min="7420" max="7421" width="8.28515625" style="124" customWidth="1"/>
    <col min="7422" max="7422" width="9.42578125" style="124" customWidth="1"/>
    <col min="7423" max="7423" width="10.5703125" style="124" customWidth="1"/>
    <col min="7424" max="7424" width="10.5703125" style="124" bestFit="1" customWidth="1"/>
    <col min="7425" max="7425" width="10.5703125" style="124" customWidth="1"/>
    <col min="7426" max="7426" width="8.28515625" style="124" customWidth="1"/>
    <col min="7427" max="7427" width="10.28515625" style="124" bestFit="1" customWidth="1"/>
    <col min="7428" max="7428" width="9.5703125" style="124" customWidth="1"/>
    <col min="7429" max="7434" width="8.28515625" style="124" customWidth="1"/>
    <col min="7435" max="7435" width="9.42578125" style="124" customWidth="1"/>
    <col min="7436" max="7437" width="9.28515625" style="124" customWidth="1"/>
    <col min="7438" max="7448" width="8.28515625" style="124" customWidth="1"/>
    <col min="7449" max="7449" width="10.85546875" style="124" customWidth="1"/>
    <col min="7450" max="7667" width="9.140625" style="124"/>
    <col min="7668" max="7668" width="5.140625" style="124" customWidth="1"/>
    <col min="7669" max="7669" width="21.42578125" style="124" customWidth="1"/>
    <col min="7670" max="7670" width="11.140625" style="124" customWidth="1"/>
    <col min="7671" max="7671" width="9.42578125" style="124" customWidth="1"/>
    <col min="7672" max="7672" width="11.85546875" style="124" customWidth="1"/>
    <col min="7673" max="7673" width="10.42578125" style="124" customWidth="1"/>
    <col min="7674" max="7674" width="9.28515625" style="124" customWidth="1"/>
    <col min="7675" max="7675" width="11.28515625" style="124" customWidth="1"/>
    <col min="7676" max="7677" width="8.28515625" style="124" customWidth="1"/>
    <col min="7678" max="7678" width="9.42578125" style="124" customWidth="1"/>
    <col min="7679" max="7679" width="10.5703125" style="124" customWidth="1"/>
    <col min="7680" max="7680" width="10.5703125" style="124" bestFit="1" customWidth="1"/>
    <col min="7681" max="7681" width="10.5703125" style="124" customWidth="1"/>
    <col min="7682" max="7682" width="8.28515625" style="124" customWidth="1"/>
    <col min="7683" max="7683" width="10.28515625" style="124" bestFit="1" customWidth="1"/>
    <col min="7684" max="7684" width="9.5703125" style="124" customWidth="1"/>
    <col min="7685" max="7690" width="8.28515625" style="124" customWidth="1"/>
    <col min="7691" max="7691" width="9.42578125" style="124" customWidth="1"/>
    <col min="7692" max="7693" width="9.28515625" style="124" customWidth="1"/>
    <col min="7694" max="7704" width="8.28515625" style="124" customWidth="1"/>
    <col min="7705" max="7705" width="10.85546875" style="124" customWidth="1"/>
    <col min="7706" max="7923" width="9.140625" style="124"/>
    <col min="7924" max="7924" width="5.140625" style="124" customWidth="1"/>
    <col min="7925" max="7925" width="21.42578125" style="124" customWidth="1"/>
    <col min="7926" max="7926" width="11.140625" style="124" customWidth="1"/>
    <col min="7927" max="7927" width="9.42578125" style="124" customWidth="1"/>
    <col min="7928" max="7928" width="11.85546875" style="124" customWidth="1"/>
    <col min="7929" max="7929" width="10.42578125" style="124" customWidth="1"/>
    <col min="7930" max="7930" width="9.28515625" style="124" customWidth="1"/>
    <col min="7931" max="7931" width="11.28515625" style="124" customWidth="1"/>
    <col min="7932" max="7933" width="8.28515625" style="124" customWidth="1"/>
    <col min="7934" max="7934" width="9.42578125" style="124" customWidth="1"/>
    <col min="7935" max="7935" width="10.5703125" style="124" customWidth="1"/>
    <col min="7936" max="7936" width="10.5703125" style="124" bestFit="1" customWidth="1"/>
    <col min="7937" max="7937" width="10.5703125" style="124" customWidth="1"/>
    <col min="7938" max="7938" width="8.28515625" style="124" customWidth="1"/>
    <col min="7939" max="7939" width="10.28515625" style="124" bestFit="1" customWidth="1"/>
    <col min="7940" max="7940" width="9.5703125" style="124" customWidth="1"/>
    <col min="7941" max="7946" width="8.28515625" style="124" customWidth="1"/>
    <col min="7947" max="7947" width="9.42578125" style="124" customWidth="1"/>
    <col min="7948" max="7949" width="9.28515625" style="124" customWidth="1"/>
    <col min="7950" max="7960" width="8.28515625" style="124" customWidth="1"/>
    <col min="7961" max="7961" width="10.85546875" style="124" customWidth="1"/>
    <col min="7962" max="8179" width="9.140625" style="124"/>
    <col min="8180" max="8180" width="5.140625" style="124" customWidth="1"/>
    <col min="8181" max="8181" width="21.42578125" style="124" customWidth="1"/>
    <col min="8182" max="8182" width="11.140625" style="124" customWidth="1"/>
    <col min="8183" max="8183" width="9.42578125" style="124" customWidth="1"/>
    <col min="8184" max="8184" width="11.85546875" style="124" customWidth="1"/>
    <col min="8185" max="8185" width="10.42578125" style="124" customWidth="1"/>
    <col min="8186" max="8186" width="9.28515625" style="124" customWidth="1"/>
    <col min="8187" max="8187" width="11.28515625" style="124" customWidth="1"/>
    <col min="8188" max="8189" width="8.28515625" style="124" customWidth="1"/>
    <col min="8190" max="8190" width="9.42578125" style="124" customWidth="1"/>
    <col min="8191" max="8191" width="10.5703125" style="124" customWidth="1"/>
    <col min="8192" max="8192" width="10.5703125" style="124" bestFit="1" customWidth="1"/>
    <col min="8193" max="8193" width="10.5703125" style="124" customWidth="1"/>
    <col min="8194" max="8194" width="8.28515625" style="124" customWidth="1"/>
    <col min="8195" max="8195" width="10.28515625" style="124" bestFit="1" customWidth="1"/>
    <col min="8196" max="8196" width="9.5703125" style="124" customWidth="1"/>
    <col min="8197" max="8202" width="8.28515625" style="124" customWidth="1"/>
    <col min="8203" max="8203" width="9.42578125" style="124" customWidth="1"/>
    <col min="8204" max="8205" width="9.28515625" style="124" customWidth="1"/>
    <col min="8206" max="8216" width="8.28515625" style="124" customWidth="1"/>
    <col min="8217" max="8217" width="10.85546875" style="124" customWidth="1"/>
    <col min="8218" max="8435" width="9.140625" style="124"/>
    <col min="8436" max="8436" width="5.140625" style="124" customWidth="1"/>
    <col min="8437" max="8437" width="21.42578125" style="124" customWidth="1"/>
    <col min="8438" max="8438" width="11.140625" style="124" customWidth="1"/>
    <col min="8439" max="8439" width="9.42578125" style="124" customWidth="1"/>
    <col min="8440" max="8440" width="11.85546875" style="124" customWidth="1"/>
    <col min="8441" max="8441" width="10.42578125" style="124" customWidth="1"/>
    <col min="8442" max="8442" width="9.28515625" style="124" customWidth="1"/>
    <col min="8443" max="8443" width="11.28515625" style="124" customWidth="1"/>
    <col min="8444" max="8445" width="8.28515625" style="124" customWidth="1"/>
    <col min="8446" max="8446" width="9.42578125" style="124" customWidth="1"/>
    <col min="8447" max="8447" width="10.5703125" style="124" customWidth="1"/>
    <col min="8448" max="8448" width="10.5703125" style="124" bestFit="1" customWidth="1"/>
    <col min="8449" max="8449" width="10.5703125" style="124" customWidth="1"/>
    <col min="8450" max="8450" width="8.28515625" style="124" customWidth="1"/>
    <col min="8451" max="8451" width="10.28515625" style="124" bestFit="1" customWidth="1"/>
    <col min="8452" max="8452" width="9.5703125" style="124" customWidth="1"/>
    <col min="8453" max="8458" width="8.28515625" style="124" customWidth="1"/>
    <col min="8459" max="8459" width="9.42578125" style="124" customWidth="1"/>
    <col min="8460" max="8461" width="9.28515625" style="124" customWidth="1"/>
    <col min="8462" max="8472" width="8.28515625" style="124" customWidth="1"/>
    <col min="8473" max="8473" width="10.85546875" style="124" customWidth="1"/>
    <col min="8474" max="8691" width="9.140625" style="124"/>
    <col min="8692" max="8692" width="5.140625" style="124" customWidth="1"/>
    <col min="8693" max="8693" width="21.42578125" style="124" customWidth="1"/>
    <col min="8694" max="8694" width="11.140625" style="124" customWidth="1"/>
    <col min="8695" max="8695" width="9.42578125" style="124" customWidth="1"/>
    <col min="8696" max="8696" width="11.85546875" style="124" customWidth="1"/>
    <col min="8697" max="8697" width="10.42578125" style="124" customWidth="1"/>
    <col min="8698" max="8698" width="9.28515625" style="124" customWidth="1"/>
    <col min="8699" max="8699" width="11.28515625" style="124" customWidth="1"/>
    <col min="8700" max="8701" width="8.28515625" style="124" customWidth="1"/>
    <col min="8702" max="8702" width="9.42578125" style="124" customWidth="1"/>
    <col min="8703" max="8703" width="10.5703125" style="124" customWidth="1"/>
    <col min="8704" max="8704" width="10.5703125" style="124" bestFit="1" customWidth="1"/>
    <col min="8705" max="8705" width="10.5703125" style="124" customWidth="1"/>
    <col min="8706" max="8706" width="8.28515625" style="124" customWidth="1"/>
    <col min="8707" max="8707" width="10.28515625" style="124" bestFit="1" customWidth="1"/>
    <col min="8708" max="8708" width="9.5703125" style="124" customWidth="1"/>
    <col min="8709" max="8714" width="8.28515625" style="124" customWidth="1"/>
    <col min="8715" max="8715" width="9.42578125" style="124" customWidth="1"/>
    <col min="8716" max="8717" width="9.28515625" style="124" customWidth="1"/>
    <col min="8718" max="8728" width="8.28515625" style="124" customWidth="1"/>
    <col min="8729" max="8729" width="10.85546875" style="124" customWidth="1"/>
    <col min="8730" max="8947" width="9.140625" style="124"/>
    <col min="8948" max="8948" width="5.140625" style="124" customWidth="1"/>
    <col min="8949" max="8949" width="21.42578125" style="124" customWidth="1"/>
    <col min="8950" max="8950" width="11.140625" style="124" customWidth="1"/>
    <col min="8951" max="8951" width="9.42578125" style="124" customWidth="1"/>
    <col min="8952" max="8952" width="11.85546875" style="124" customWidth="1"/>
    <col min="8953" max="8953" width="10.42578125" style="124" customWidth="1"/>
    <col min="8954" max="8954" width="9.28515625" style="124" customWidth="1"/>
    <col min="8955" max="8955" width="11.28515625" style="124" customWidth="1"/>
    <col min="8956" max="8957" width="8.28515625" style="124" customWidth="1"/>
    <col min="8958" max="8958" width="9.42578125" style="124" customWidth="1"/>
    <col min="8959" max="8959" width="10.5703125" style="124" customWidth="1"/>
    <col min="8960" max="8960" width="10.5703125" style="124" bestFit="1" customWidth="1"/>
    <col min="8961" max="8961" width="10.5703125" style="124" customWidth="1"/>
    <col min="8962" max="8962" width="8.28515625" style="124" customWidth="1"/>
    <col min="8963" max="8963" width="10.28515625" style="124" bestFit="1" customWidth="1"/>
    <col min="8964" max="8964" width="9.5703125" style="124" customWidth="1"/>
    <col min="8965" max="8970" width="8.28515625" style="124" customWidth="1"/>
    <col min="8971" max="8971" width="9.42578125" style="124" customWidth="1"/>
    <col min="8972" max="8973" width="9.28515625" style="124" customWidth="1"/>
    <col min="8974" max="8984" width="8.28515625" style="124" customWidth="1"/>
    <col min="8985" max="8985" width="10.85546875" style="124" customWidth="1"/>
    <col min="8986" max="9203" width="9.140625" style="124"/>
    <col min="9204" max="9204" width="5.140625" style="124" customWidth="1"/>
    <col min="9205" max="9205" width="21.42578125" style="124" customWidth="1"/>
    <col min="9206" max="9206" width="11.140625" style="124" customWidth="1"/>
    <col min="9207" max="9207" width="9.42578125" style="124" customWidth="1"/>
    <col min="9208" max="9208" width="11.85546875" style="124" customWidth="1"/>
    <col min="9209" max="9209" width="10.42578125" style="124" customWidth="1"/>
    <col min="9210" max="9210" width="9.28515625" style="124" customWidth="1"/>
    <col min="9211" max="9211" width="11.28515625" style="124" customWidth="1"/>
    <col min="9212" max="9213" width="8.28515625" style="124" customWidth="1"/>
    <col min="9214" max="9214" width="9.42578125" style="124" customWidth="1"/>
    <col min="9215" max="9215" width="10.5703125" style="124" customWidth="1"/>
    <col min="9216" max="9216" width="10.5703125" style="124" bestFit="1" customWidth="1"/>
    <col min="9217" max="9217" width="10.5703125" style="124" customWidth="1"/>
    <col min="9218" max="9218" width="8.28515625" style="124" customWidth="1"/>
    <col min="9219" max="9219" width="10.28515625" style="124" bestFit="1" customWidth="1"/>
    <col min="9220" max="9220" width="9.5703125" style="124" customWidth="1"/>
    <col min="9221" max="9226" width="8.28515625" style="124" customWidth="1"/>
    <col min="9227" max="9227" width="9.42578125" style="124" customWidth="1"/>
    <col min="9228" max="9229" width="9.28515625" style="124" customWidth="1"/>
    <col min="9230" max="9240" width="8.28515625" style="124" customWidth="1"/>
    <col min="9241" max="9241" width="10.85546875" style="124" customWidth="1"/>
    <col min="9242" max="9459" width="9.140625" style="124"/>
    <col min="9460" max="9460" width="5.140625" style="124" customWidth="1"/>
    <col min="9461" max="9461" width="21.42578125" style="124" customWidth="1"/>
    <col min="9462" max="9462" width="11.140625" style="124" customWidth="1"/>
    <col min="9463" max="9463" width="9.42578125" style="124" customWidth="1"/>
    <col min="9464" max="9464" width="11.85546875" style="124" customWidth="1"/>
    <col min="9465" max="9465" width="10.42578125" style="124" customWidth="1"/>
    <col min="9466" max="9466" width="9.28515625" style="124" customWidth="1"/>
    <col min="9467" max="9467" width="11.28515625" style="124" customWidth="1"/>
    <col min="9468" max="9469" width="8.28515625" style="124" customWidth="1"/>
    <col min="9470" max="9470" width="9.42578125" style="124" customWidth="1"/>
    <col min="9471" max="9471" width="10.5703125" style="124" customWidth="1"/>
    <col min="9472" max="9472" width="10.5703125" style="124" bestFit="1" customWidth="1"/>
    <col min="9473" max="9473" width="10.5703125" style="124" customWidth="1"/>
    <col min="9474" max="9474" width="8.28515625" style="124" customWidth="1"/>
    <col min="9475" max="9475" width="10.28515625" style="124" bestFit="1" customWidth="1"/>
    <col min="9476" max="9476" width="9.5703125" style="124" customWidth="1"/>
    <col min="9477" max="9482" width="8.28515625" style="124" customWidth="1"/>
    <col min="9483" max="9483" width="9.42578125" style="124" customWidth="1"/>
    <col min="9484" max="9485" width="9.28515625" style="124" customWidth="1"/>
    <col min="9486" max="9496" width="8.28515625" style="124" customWidth="1"/>
    <col min="9497" max="9497" width="10.85546875" style="124" customWidth="1"/>
    <col min="9498" max="9715" width="9.140625" style="124"/>
    <col min="9716" max="9716" width="5.140625" style="124" customWidth="1"/>
    <col min="9717" max="9717" width="21.42578125" style="124" customWidth="1"/>
    <col min="9718" max="9718" width="11.140625" style="124" customWidth="1"/>
    <col min="9719" max="9719" width="9.42578125" style="124" customWidth="1"/>
    <col min="9720" max="9720" width="11.85546875" style="124" customWidth="1"/>
    <col min="9721" max="9721" width="10.42578125" style="124" customWidth="1"/>
    <col min="9722" max="9722" width="9.28515625" style="124" customWidth="1"/>
    <col min="9723" max="9723" width="11.28515625" style="124" customWidth="1"/>
    <col min="9724" max="9725" width="8.28515625" style="124" customWidth="1"/>
    <col min="9726" max="9726" width="9.42578125" style="124" customWidth="1"/>
    <col min="9727" max="9727" width="10.5703125" style="124" customWidth="1"/>
    <col min="9728" max="9728" width="10.5703125" style="124" bestFit="1" customWidth="1"/>
    <col min="9729" max="9729" width="10.5703125" style="124" customWidth="1"/>
    <col min="9730" max="9730" width="8.28515625" style="124" customWidth="1"/>
    <col min="9731" max="9731" width="10.28515625" style="124" bestFit="1" customWidth="1"/>
    <col min="9732" max="9732" width="9.5703125" style="124" customWidth="1"/>
    <col min="9733" max="9738" width="8.28515625" style="124" customWidth="1"/>
    <col min="9739" max="9739" width="9.42578125" style="124" customWidth="1"/>
    <col min="9740" max="9741" width="9.28515625" style="124" customWidth="1"/>
    <col min="9742" max="9752" width="8.28515625" style="124" customWidth="1"/>
    <col min="9753" max="9753" width="10.85546875" style="124" customWidth="1"/>
    <col min="9754" max="9971" width="9.140625" style="124"/>
    <col min="9972" max="9972" width="5.140625" style="124" customWidth="1"/>
    <col min="9973" max="9973" width="21.42578125" style="124" customWidth="1"/>
    <col min="9974" max="9974" width="11.140625" style="124" customWidth="1"/>
    <col min="9975" max="9975" width="9.42578125" style="124" customWidth="1"/>
    <col min="9976" max="9976" width="11.85546875" style="124" customWidth="1"/>
    <col min="9977" max="9977" width="10.42578125" style="124" customWidth="1"/>
    <col min="9978" max="9978" width="9.28515625" style="124" customWidth="1"/>
    <col min="9979" max="9979" width="11.28515625" style="124" customWidth="1"/>
    <col min="9980" max="9981" width="8.28515625" style="124" customWidth="1"/>
    <col min="9982" max="9982" width="9.42578125" style="124" customWidth="1"/>
    <col min="9983" max="9983" width="10.5703125" style="124" customWidth="1"/>
    <col min="9984" max="9984" width="10.5703125" style="124" bestFit="1" customWidth="1"/>
    <col min="9985" max="9985" width="10.5703125" style="124" customWidth="1"/>
    <col min="9986" max="9986" width="8.28515625" style="124" customWidth="1"/>
    <col min="9987" max="9987" width="10.28515625" style="124" bestFit="1" customWidth="1"/>
    <col min="9988" max="9988" width="9.5703125" style="124" customWidth="1"/>
    <col min="9989" max="9994" width="8.28515625" style="124" customWidth="1"/>
    <col min="9995" max="9995" width="9.42578125" style="124" customWidth="1"/>
    <col min="9996" max="9997" width="9.28515625" style="124" customWidth="1"/>
    <col min="9998" max="10008" width="8.28515625" style="124" customWidth="1"/>
    <col min="10009" max="10009" width="10.85546875" style="124" customWidth="1"/>
    <col min="10010" max="10227" width="9.140625" style="124"/>
    <col min="10228" max="10228" width="5.140625" style="124" customWidth="1"/>
    <col min="10229" max="10229" width="21.42578125" style="124" customWidth="1"/>
    <col min="10230" max="10230" width="11.140625" style="124" customWidth="1"/>
    <col min="10231" max="10231" width="9.42578125" style="124" customWidth="1"/>
    <col min="10232" max="10232" width="11.85546875" style="124" customWidth="1"/>
    <col min="10233" max="10233" width="10.42578125" style="124" customWidth="1"/>
    <col min="10234" max="10234" width="9.28515625" style="124" customWidth="1"/>
    <col min="10235" max="10235" width="11.28515625" style="124" customWidth="1"/>
    <col min="10236" max="10237" width="8.28515625" style="124" customWidth="1"/>
    <col min="10238" max="10238" width="9.42578125" style="124" customWidth="1"/>
    <col min="10239" max="10239" width="10.5703125" style="124" customWidth="1"/>
    <col min="10240" max="10240" width="10.5703125" style="124" bestFit="1" customWidth="1"/>
    <col min="10241" max="10241" width="10.5703125" style="124" customWidth="1"/>
    <col min="10242" max="10242" width="8.28515625" style="124" customWidth="1"/>
    <col min="10243" max="10243" width="10.28515625" style="124" bestFit="1" customWidth="1"/>
    <col min="10244" max="10244" width="9.5703125" style="124" customWidth="1"/>
    <col min="10245" max="10250" width="8.28515625" style="124" customWidth="1"/>
    <col min="10251" max="10251" width="9.42578125" style="124" customWidth="1"/>
    <col min="10252" max="10253" width="9.28515625" style="124" customWidth="1"/>
    <col min="10254" max="10264" width="8.28515625" style="124" customWidth="1"/>
    <col min="10265" max="10265" width="10.85546875" style="124" customWidth="1"/>
    <col min="10266" max="10483" width="9.140625" style="124"/>
    <col min="10484" max="10484" width="5.140625" style="124" customWidth="1"/>
    <col min="10485" max="10485" width="21.42578125" style="124" customWidth="1"/>
    <col min="10486" max="10486" width="11.140625" style="124" customWidth="1"/>
    <col min="10487" max="10487" width="9.42578125" style="124" customWidth="1"/>
    <col min="10488" max="10488" width="11.85546875" style="124" customWidth="1"/>
    <col min="10489" max="10489" width="10.42578125" style="124" customWidth="1"/>
    <col min="10490" max="10490" width="9.28515625" style="124" customWidth="1"/>
    <col min="10491" max="10491" width="11.28515625" style="124" customWidth="1"/>
    <col min="10492" max="10493" width="8.28515625" style="124" customWidth="1"/>
    <col min="10494" max="10494" width="9.42578125" style="124" customWidth="1"/>
    <col min="10495" max="10495" width="10.5703125" style="124" customWidth="1"/>
    <col min="10496" max="10496" width="10.5703125" style="124" bestFit="1" customWidth="1"/>
    <col min="10497" max="10497" width="10.5703125" style="124" customWidth="1"/>
    <col min="10498" max="10498" width="8.28515625" style="124" customWidth="1"/>
    <col min="10499" max="10499" width="10.28515625" style="124" bestFit="1" customWidth="1"/>
    <col min="10500" max="10500" width="9.5703125" style="124" customWidth="1"/>
    <col min="10501" max="10506" width="8.28515625" style="124" customWidth="1"/>
    <col min="10507" max="10507" width="9.42578125" style="124" customWidth="1"/>
    <col min="10508" max="10509" width="9.28515625" style="124" customWidth="1"/>
    <col min="10510" max="10520" width="8.28515625" style="124" customWidth="1"/>
    <col min="10521" max="10521" width="10.85546875" style="124" customWidth="1"/>
    <col min="10522" max="10739" width="9.140625" style="124"/>
    <col min="10740" max="10740" width="5.140625" style="124" customWidth="1"/>
    <col min="10741" max="10741" width="21.42578125" style="124" customWidth="1"/>
    <col min="10742" max="10742" width="11.140625" style="124" customWidth="1"/>
    <col min="10743" max="10743" width="9.42578125" style="124" customWidth="1"/>
    <col min="10744" max="10744" width="11.85546875" style="124" customWidth="1"/>
    <col min="10745" max="10745" width="10.42578125" style="124" customWidth="1"/>
    <col min="10746" max="10746" width="9.28515625" style="124" customWidth="1"/>
    <col min="10747" max="10747" width="11.28515625" style="124" customWidth="1"/>
    <col min="10748" max="10749" width="8.28515625" style="124" customWidth="1"/>
    <col min="10750" max="10750" width="9.42578125" style="124" customWidth="1"/>
    <col min="10751" max="10751" width="10.5703125" style="124" customWidth="1"/>
    <col min="10752" max="10752" width="10.5703125" style="124" bestFit="1" customWidth="1"/>
    <col min="10753" max="10753" width="10.5703125" style="124" customWidth="1"/>
    <col min="10754" max="10754" width="8.28515625" style="124" customWidth="1"/>
    <col min="10755" max="10755" width="10.28515625" style="124" bestFit="1" customWidth="1"/>
    <col min="10756" max="10756" width="9.5703125" style="124" customWidth="1"/>
    <col min="10757" max="10762" width="8.28515625" style="124" customWidth="1"/>
    <col min="10763" max="10763" width="9.42578125" style="124" customWidth="1"/>
    <col min="10764" max="10765" width="9.28515625" style="124" customWidth="1"/>
    <col min="10766" max="10776" width="8.28515625" style="124" customWidth="1"/>
    <col min="10777" max="10777" width="10.85546875" style="124" customWidth="1"/>
    <col min="10778" max="10995" width="9.140625" style="124"/>
    <col min="10996" max="10996" width="5.140625" style="124" customWidth="1"/>
    <col min="10997" max="10997" width="21.42578125" style="124" customWidth="1"/>
    <col min="10998" max="10998" width="11.140625" style="124" customWidth="1"/>
    <col min="10999" max="10999" width="9.42578125" style="124" customWidth="1"/>
    <col min="11000" max="11000" width="11.85546875" style="124" customWidth="1"/>
    <col min="11001" max="11001" width="10.42578125" style="124" customWidth="1"/>
    <col min="11002" max="11002" width="9.28515625" style="124" customWidth="1"/>
    <col min="11003" max="11003" width="11.28515625" style="124" customWidth="1"/>
    <col min="11004" max="11005" width="8.28515625" style="124" customWidth="1"/>
    <col min="11006" max="11006" width="9.42578125" style="124" customWidth="1"/>
    <col min="11007" max="11007" width="10.5703125" style="124" customWidth="1"/>
    <col min="11008" max="11008" width="10.5703125" style="124" bestFit="1" customWidth="1"/>
    <col min="11009" max="11009" width="10.5703125" style="124" customWidth="1"/>
    <col min="11010" max="11010" width="8.28515625" style="124" customWidth="1"/>
    <col min="11011" max="11011" width="10.28515625" style="124" bestFit="1" customWidth="1"/>
    <col min="11012" max="11012" width="9.5703125" style="124" customWidth="1"/>
    <col min="11013" max="11018" width="8.28515625" style="124" customWidth="1"/>
    <col min="11019" max="11019" width="9.42578125" style="124" customWidth="1"/>
    <col min="11020" max="11021" width="9.28515625" style="124" customWidth="1"/>
    <col min="11022" max="11032" width="8.28515625" style="124" customWidth="1"/>
    <col min="11033" max="11033" width="10.85546875" style="124" customWidth="1"/>
    <col min="11034" max="11251" width="9.140625" style="124"/>
    <col min="11252" max="11252" width="5.140625" style="124" customWidth="1"/>
    <col min="11253" max="11253" width="21.42578125" style="124" customWidth="1"/>
    <col min="11254" max="11254" width="11.140625" style="124" customWidth="1"/>
    <col min="11255" max="11255" width="9.42578125" style="124" customWidth="1"/>
    <col min="11256" max="11256" width="11.85546875" style="124" customWidth="1"/>
    <col min="11257" max="11257" width="10.42578125" style="124" customWidth="1"/>
    <col min="11258" max="11258" width="9.28515625" style="124" customWidth="1"/>
    <col min="11259" max="11259" width="11.28515625" style="124" customWidth="1"/>
    <col min="11260" max="11261" width="8.28515625" style="124" customWidth="1"/>
    <col min="11262" max="11262" width="9.42578125" style="124" customWidth="1"/>
    <col min="11263" max="11263" width="10.5703125" style="124" customWidth="1"/>
    <col min="11264" max="11264" width="10.5703125" style="124" bestFit="1" customWidth="1"/>
    <col min="11265" max="11265" width="10.5703125" style="124" customWidth="1"/>
    <col min="11266" max="11266" width="8.28515625" style="124" customWidth="1"/>
    <col min="11267" max="11267" width="10.28515625" style="124" bestFit="1" customWidth="1"/>
    <col min="11268" max="11268" width="9.5703125" style="124" customWidth="1"/>
    <col min="11269" max="11274" width="8.28515625" style="124" customWidth="1"/>
    <col min="11275" max="11275" width="9.42578125" style="124" customWidth="1"/>
    <col min="11276" max="11277" width="9.28515625" style="124" customWidth="1"/>
    <col min="11278" max="11288" width="8.28515625" style="124" customWidth="1"/>
    <col min="11289" max="11289" width="10.85546875" style="124" customWidth="1"/>
    <col min="11290" max="11507" width="9.140625" style="124"/>
    <col min="11508" max="11508" width="5.140625" style="124" customWidth="1"/>
    <col min="11509" max="11509" width="21.42578125" style="124" customWidth="1"/>
    <col min="11510" max="11510" width="11.140625" style="124" customWidth="1"/>
    <col min="11511" max="11511" width="9.42578125" style="124" customWidth="1"/>
    <col min="11512" max="11512" width="11.85546875" style="124" customWidth="1"/>
    <col min="11513" max="11513" width="10.42578125" style="124" customWidth="1"/>
    <col min="11514" max="11514" width="9.28515625" style="124" customWidth="1"/>
    <col min="11515" max="11515" width="11.28515625" style="124" customWidth="1"/>
    <col min="11516" max="11517" width="8.28515625" style="124" customWidth="1"/>
    <col min="11518" max="11518" width="9.42578125" style="124" customWidth="1"/>
    <col min="11519" max="11519" width="10.5703125" style="124" customWidth="1"/>
    <col min="11520" max="11520" width="10.5703125" style="124" bestFit="1" customWidth="1"/>
    <col min="11521" max="11521" width="10.5703125" style="124" customWidth="1"/>
    <col min="11522" max="11522" width="8.28515625" style="124" customWidth="1"/>
    <col min="11523" max="11523" width="10.28515625" style="124" bestFit="1" customWidth="1"/>
    <col min="11524" max="11524" width="9.5703125" style="124" customWidth="1"/>
    <col min="11525" max="11530" width="8.28515625" style="124" customWidth="1"/>
    <col min="11531" max="11531" width="9.42578125" style="124" customWidth="1"/>
    <col min="11532" max="11533" width="9.28515625" style="124" customWidth="1"/>
    <col min="11534" max="11544" width="8.28515625" style="124" customWidth="1"/>
    <col min="11545" max="11545" width="10.85546875" style="124" customWidth="1"/>
    <col min="11546" max="11763" width="9.140625" style="124"/>
    <col min="11764" max="11764" width="5.140625" style="124" customWidth="1"/>
    <col min="11765" max="11765" width="21.42578125" style="124" customWidth="1"/>
    <col min="11766" max="11766" width="11.140625" style="124" customWidth="1"/>
    <col min="11767" max="11767" width="9.42578125" style="124" customWidth="1"/>
    <col min="11768" max="11768" width="11.85546875" style="124" customWidth="1"/>
    <col min="11769" max="11769" width="10.42578125" style="124" customWidth="1"/>
    <col min="11770" max="11770" width="9.28515625" style="124" customWidth="1"/>
    <col min="11771" max="11771" width="11.28515625" style="124" customWidth="1"/>
    <col min="11772" max="11773" width="8.28515625" style="124" customWidth="1"/>
    <col min="11774" max="11774" width="9.42578125" style="124" customWidth="1"/>
    <col min="11775" max="11775" width="10.5703125" style="124" customWidth="1"/>
    <col min="11776" max="11776" width="10.5703125" style="124" bestFit="1" customWidth="1"/>
    <col min="11777" max="11777" width="10.5703125" style="124" customWidth="1"/>
    <col min="11778" max="11778" width="8.28515625" style="124" customWidth="1"/>
    <col min="11779" max="11779" width="10.28515625" style="124" bestFit="1" customWidth="1"/>
    <col min="11780" max="11780" width="9.5703125" style="124" customWidth="1"/>
    <col min="11781" max="11786" width="8.28515625" style="124" customWidth="1"/>
    <col min="11787" max="11787" width="9.42578125" style="124" customWidth="1"/>
    <col min="11788" max="11789" width="9.28515625" style="124" customWidth="1"/>
    <col min="11790" max="11800" width="8.28515625" style="124" customWidth="1"/>
    <col min="11801" max="11801" width="10.85546875" style="124" customWidth="1"/>
    <col min="11802" max="12019" width="9.140625" style="124"/>
    <col min="12020" max="12020" width="5.140625" style="124" customWidth="1"/>
    <col min="12021" max="12021" width="21.42578125" style="124" customWidth="1"/>
    <col min="12022" max="12022" width="11.140625" style="124" customWidth="1"/>
    <col min="12023" max="12023" width="9.42578125" style="124" customWidth="1"/>
    <col min="12024" max="12024" width="11.85546875" style="124" customWidth="1"/>
    <col min="12025" max="12025" width="10.42578125" style="124" customWidth="1"/>
    <col min="12026" max="12026" width="9.28515625" style="124" customWidth="1"/>
    <col min="12027" max="12027" width="11.28515625" style="124" customWidth="1"/>
    <col min="12028" max="12029" width="8.28515625" style="124" customWidth="1"/>
    <col min="12030" max="12030" width="9.42578125" style="124" customWidth="1"/>
    <col min="12031" max="12031" width="10.5703125" style="124" customWidth="1"/>
    <col min="12032" max="12032" width="10.5703125" style="124" bestFit="1" customWidth="1"/>
    <col min="12033" max="12033" width="10.5703125" style="124" customWidth="1"/>
    <col min="12034" max="12034" width="8.28515625" style="124" customWidth="1"/>
    <col min="12035" max="12035" width="10.28515625" style="124" bestFit="1" customWidth="1"/>
    <col min="12036" max="12036" width="9.5703125" style="124" customWidth="1"/>
    <col min="12037" max="12042" width="8.28515625" style="124" customWidth="1"/>
    <col min="12043" max="12043" width="9.42578125" style="124" customWidth="1"/>
    <col min="12044" max="12045" width="9.28515625" style="124" customWidth="1"/>
    <col min="12046" max="12056" width="8.28515625" style="124" customWidth="1"/>
    <col min="12057" max="12057" width="10.85546875" style="124" customWidth="1"/>
    <col min="12058" max="12275" width="9.140625" style="124"/>
    <col min="12276" max="12276" width="5.140625" style="124" customWidth="1"/>
    <col min="12277" max="12277" width="21.42578125" style="124" customWidth="1"/>
    <col min="12278" max="12278" width="11.140625" style="124" customWidth="1"/>
    <col min="12279" max="12279" width="9.42578125" style="124" customWidth="1"/>
    <col min="12280" max="12280" width="11.85546875" style="124" customWidth="1"/>
    <col min="12281" max="12281" width="10.42578125" style="124" customWidth="1"/>
    <col min="12282" max="12282" width="9.28515625" style="124" customWidth="1"/>
    <col min="12283" max="12283" width="11.28515625" style="124" customWidth="1"/>
    <col min="12284" max="12285" width="8.28515625" style="124" customWidth="1"/>
    <col min="12286" max="12286" width="9.42578125" style="124" customWidth="1"/>
    <col min="12287" max="12287" width="10.5703125" style="124" customWidth="1"/>
    <col min="12288" max="12288" width="10.5703125" style="124" bestFit="1" customWidth="1"/>
    <col min="12289" max="12289" width="10.5703125" style="124" customWidth="1"/>
    <col min="12290" max="12290" width="8.28515625" style="124" customWidth="1"/>
    <col min="12291" max="12291" width="10.28515625" style="124" bestFit="1" customWidth="1"/>
    <col min="12292" max="12292" width="9.5703125" style="124" customWidth="1"/>
    <col min="12293" max="12298" width="8.28515625" style="124" customWidth="1"/>
    <col min="12299" max="12299" width="9.42578125" style="124" customWidth="1"/>
    <col min="12300" max="12301" width="9.28515625" style="124" customWidth="1"/>
    <col min="12302" max="12312" width="8.28515625" style="124" customWidth="1"/>
    <col min="12313" max="12313" width="10.85546875" style="124" customWidth="1"/>
    <col min="12314" max="12531" width="9.140625" style="124"/>
    <col min="12532" max="12532" width="5.140625" style="124" customWidth="1"/>
    <col min="12533" max="12533" width="21.42578125" style="124" customWidth="1"/>
    <col min="12534" max="12534" width="11.140625" style="124" customWidth="1"/>
    <col min="12535" max="12535" width="9.42578125" style="124" customWidth="1"/>
    <col min="12536" max="12536" width="11.85546875" style="124" customWidth="1"/>
    <col min="12537" max="12537" width="10.42578125" style="124" customWidth="1"/>
    <col min="12538" max="12538" width="9.28515625" style="124" customWidth="1"/>
    <col min="12539" max="12539" width="11.28515625" style="124" customWidth="1"/>
    <col min="12540" max="12541" width="8.28515625" style="124" customWidth="1"/>
    <col min="12542" max="12542" width="9.42578125" style="124" customWidth="1"/>
    <col min="12543" max="12543" width="10.5703125" style="124" customWidth="1"/>
    <col min="12544" max="12544" width="10.5703125" style="124" bestFit="1" customWidth="1"/>
    <col min="12545" max="12545" width="10.5703125" style="124" customWidth="1"/>
    <col min="12546" max="12546" width="8.28515625" style="124" customWidth="1"/>
    <col min="12547" max="12547" width="10.28515625" style="124" bestFit="1" customWidth="1"/>
    <col min="12548" max="12548" width="9.5703125" style="124" customWidth="1"/>
    <col min="12549" max="12554" width="8.28515625" style="124" customWidth="1"/>
    <col min="12555" max="12555" width="9.42578125" style="124" customWidth="1"/>
    <col min="12556" max="12557" width="9.28515625" style="124" customWidth="1"/>
    <col min="12558" max="12568" width="8.28515625" style="124" customWidth="1"/>
    <col min="12569" max="12569" width="10.85546875" style="124" customWidth="1"/>
    <col min="12570" max="12787" width="9.140625" style="124"/>
    <col min="12788" max="12788" width="5.140625" style="124" customWidth="1"/>
    <col min="12789" max="12789" width="21.42578125" style="124" customWidth="1"/>
    <col min="12790" max="12790" width="11.140625" style="124" customWidth="1"/>
    <col min="12791" max="12791" width="9.42578125" style="124" customWidth="1"/>
    <col min="12792" max="12792" width="11.85546875" style="124" customWidth="1"/>
    <col min="12793" max="12793" width="10.42578125" style="124" customWidth="1"/>
    <col min="12794" max="12794" width="9.28515625" style="124" customWidth="1"/>
    <col min="12795" max="12795" width="11.28515625" style="124" customWidth="1"/>
    <col min="12796" max="12797" width="8.28515625" style="124" customWidth="1"/>
    <col min="12798" max="12798" width="9.42578125" style="124" customWidth="1"/>
    <col min="12799" max="12799" width="10.5703125" style="124" customWidth="1"/>
    <col min="12800" max="12800" width="10.5703125" style="124" bestFit="1" customWidth="1"/>
    <col min="12801" max="12801" width="10.5703125" style="124" customWidth="1"/>
    <col min="12802" max="12802" width="8.28515625" style="124" customWidth="1"/>
    <col min="12803" max="12803" width="10.28515625" style="124" bestFit="1" customWidth="1"/>
    <col min="12804" max="12804" width="9.5703125" style="124" customWidth="1"/>
    <col min="12805" max="12810" width="8.28515625" style="124" customWidth="1"/>
    <col min="12811" max="12811" width="9.42578125" style="124" customWidth="1"/>
    <col min="12812" max="12813" width="9.28515625" style="124" customWidth="1"/>
    <col min="12814" max="12824" width="8.28515625" style="124" customWidth="1"/>
    <col min="12825" max="12825" width="10.85546875" style="124" customWidth="1"/>
    <col min="12826" max="13043" width="9.140625" style="124"/>
    <col min="13044" max="13044" width="5.140625" style="124" customWidth="1"/>
    <col min="13045" max="13045" width="21.42578125" style="124" customWidth="1"/>
    <col min="13046" max="13046" width="11.140625" style="124" customWidth="1"/>
    <col min="13047" max="13047" width="9.42578125" style="124" customWidth="1"/>
    <col min="13048" max="13048" width="11.85546875" style="124" customWidth="1"/>
    <col min="13049" max="13049" width="10.42578125" style="124" customWidth="1"/>
    <col min="13050" max="13050" width="9.28515625" style="124" customWidth="1"/>
    <col min="13051" max="13051" width="11.28515625" style="124" customWidth="1"/>
    <col min="13052" max="13053" width="8.28515625" style="124" customWidth="1"/>
    <col min="13054" max="13054" width="9.42578125" style="124" customWidth="1"/>
    <col min="13055" max="13055" width="10.5703125" style="124" customWidth="1"/>
    <col min="13056" max="13056" width="10.5703125" style="124" bestFit="1" customWidth="1"/>
    <col min="13057" max="13057" width="10.5703125" style="124" customWidth="1"/>
    <col min="13058" max="13058" width="8.28515625" style="124" customWidth="1"/>
    <col min="13059" max="13059" width="10.28515625" style="124" bestFit="1" customWidth="1"/>
    <col min="13060" max="13060" width="9.5703125" style="124" customWidth="1"/>
    <col min="13061" max="13066" width="8.28515625" style="124" customWidth="1"/>
    <col min="13067" max="13067" width="9.42578125" style="124" customWidth="1"/>
    <col min="13068" max="13069" width="9.28515625" style="124" customWidth="1"/>
    <col min="13070" max="13080" width="8.28515625" style="124" customWidth="1"/>
    <col min="13081" max="13081" width="10.85546875" style="124" customWidth="1"/>
    <col min="13082" max="13299" width="9.140625" style="124"/>
    <col min="13300" max="13300" width="5.140625" style="124" customWidth="1"/>
    <col min="13301" max="13301" width="21.42578125" style="124" customWidth="1"/>
    <col min="13302" max="13302" width="11.140625" style="124" customWidth="1"/>
    <col min="13303" max="13303" width="9.42578125" style="124" customWidth="1"/>
    <col min="13304" max="13304" width="11.85546875" style="124" customWidth="1"/>
    <col min="13305" max="13305" width="10.42578125" style="124" customWidth="1"/>
    <col min="13306" max="13306" width="9.28515625" style="124" customWidth="1"/>
    <col min="13307" max="13307" width="11.28515625" style="124" customWidth="1"/>
    <col min="13308" max="13309" width="8.28515625" style="124" customWidth="1"/>
    <col min="13310" max="13310" width="9.42578125" style="124" customWidth="1"/>
    <col min="13311" max="13311" width="10.5703125" style="124" customWidth="1"/>
    <col min="13312" max="13312" width="10.5703125" style="124" bestFit="1" customWidth="1"/>
    <col min="13313" max="13313" width="10.5703125" style="124" customWidth="1"/>
    <col min="13314" max="13314" width="8.28515625" style="124" customWidth="1"/>
    <col min="13315" max="13315" width="10.28515625" style="124" bestFit="1" customWidth="1"/>
    <col min="13316" max="13316" width="9.5703125" style="124" customWidth="1"/>
    <col min="13317" max="13322" width="8.28515625" style="124" customWidth="1"/>
    <col min="13323" max="13323" width="9.42578125" style="124" customWidth="1"/>
    <col min="13324" max="13325" width="9.28515625" style="124" customWidth="1"/>
    <col min="13326" max="13336" width="8.28515625" style="124" customWidth="1"/>
    <col min="13337" max="13337" width="10.85546875" style="124" customWidth="1"/>
    <col min="13338" max="13555" width="9.140625" style="124"/>
    <col min="13556" max="13556" width="5.140625" style="124" customWidth="1"/>
    <col min="13557" max="13557" width="21.42578125" style="124" customWidth="1"/>
    <col min="13558" max="13558" width="11.140625" style="124" customWidth="1"/>
    <col min="13559" max="13559" width="9.42578125" style="124" customWidth="1"/>
    <col min="13560" max="13560" width="11.85546875" style="124" customWidth="1"/>
    <col min="13561" max="13561" width="10.42578125" style="124" customWidth="1"/>
    <col min="13562" max="13562" width="9.28515625" style="124" customWidth="1"/>
    <col min="13563" max="13563" width="11.28515625" style="124" customWidth="1"/>
    <col min="13564" max="13565" width="8.28515625" style="124" customWidth="1"/>
    <col min="13566" max="13566" width="9.42578125" style="124" customWidth="1"/>
    <col min="13567" max="13567" width="10.5703125" style="124" customWidth="1"/>
    <col min="13568" max="13568" width="10.5703125" style="124" bestFit="1" customWidth="1"/>
    <col min="13569" max="13569" width="10.5703125" style="124" customWidth="1"/>
    <col min="13570" max="13570" width="8.28515625" style="124" customWidth="1"/>
    <col min="13571" max="13571" width="10.28515625" style="124" bestFit="1" customWidth="1"/>
    <col min="13572" max="13572" width="9.5703125" style="124" customWidth="1"/>
    <col min="13573" max="13578" width="8.28515625" style="124" customWidth="1"/>
    <col min="13579" max="13579" width="9.42578125" style="124" customWidth="1"/>
    <col min="13580" max="13581" width="9.28515625" style="124" customWidth="1"/>
    <col min="13582" max="13592" width="8.28515625" style="124" customWidth="1"/>
    <col min="13593" max="13593" width="10.85546875" style="124" customWidth="1"/>
    <col min="13594" max="13811" width="9.140625" style="124"/>
    <col min="13812" max="13812" width="5.140625" style="124" customWidth="1"/>
    <col min="13813" max="13813" width="21.42578125" style="124" customWidth="1"/>
    <col min="13814" max="13814" width="11.140625" style="124" customWidth="1"/>
    <col min="13815" max="13815" width="9.42578125" style="124" customWidth="1"/>
    <col min="13816" max="13816" width="11.85546875" style="124" customWidth="1"/>
    <col min="13817" max="13817" width="10.42578125" style="124" customWidth="1"/>
    <col min="13818" max="13818" width="9.28515625" style="124" customWidth="1"/>
    <col min="13819" max="13819" width="11.28515625" style="124" customWidth="1"/>
    <col min="13820" max="13821" width="8.28515625" style="124" customWidth="1"/>
    <col min="13822" max="13822" width="9.42578125" style="124" customWidth="1"/>
    <col min="13823" max="13823" width="10.5703125" style="124" customWidth="1"/>
    <col min="13824" max="13824" width="10.5703125" style="124" bestFit="1" customWidth="1"/>
    <col min="13825" max="13825" width="10.5703125" style="124" customWidth="1"/>
    <col min="13826" max="13826" width="8.28515625" style="124" customWidth="1"/>
    <col min="13827" max="13827" width="10.28515625" style="124" bestFit="1" customWidth="1"/>
    <col min="13828" max="13828" width="9.5703125" style="124" customWidth="1"/>
    <col min="13829" max="13834" width="8.28515625" style="124" customWidth="1"/>
    <col min="13835" max="13835" width="9.42578125" style="124" customWidth="1"/>
    <col min="13836" max="13837" width="9.28515625" style="124" customWidth="1"/>
    <col min="13838" max="13848" width="8.28515625" style="124" customWidth="1"/>
    <col min="13849" max="13849" width="10.85546875" style="124" customWidth="1"/>
    <col min="13850" max="14067" width="9.140625" style="124"/>
    <col min="14068" max="14068" width="5.140625" style="124" customWidth="1"/>
    <col min="14069" max="14069" width="21.42578125" style="124" customWidth="1"/>
    <col min="14070" max="14070" width="11.140625" style="124" customWidth="1"/>
    <col min="14071" max="14071" width="9.42578125" style="124" customWidth="1"/>
    <col min="14072" max="14072" width="11.85546875" style="124" customWidth="1"/>
    <col min="14073" max="14073" width="10.42578125" style="124" customWidth="1"/>
    <col min="14074" max="14074" width="9.28515625" style="124" customWidth="1"/>
    <col min="14075" max="14075" width="11.28515625" style="124" customWidth="1"/>
    <col min="14076" max="14077" width="8.28515625" style="124" customWidth="1"/>
    <col min="14078" max="14078" width="9.42578125" style="124" customWidth="1"/>
    <col min="14079" max="14079" width="10.5703125" style="124" customWidth="1"/>
    <col min="14080" max="14080" width="10.5703125" style="124" bestFit="1" customWidth="1"/>
    <col min="14081" max="14081" width="10.5703125" style="124" customWidth="1"/>
    <col min="14082" max="14082" width="8.28515625" style="124" customWidth="1"/>
    <col min="14083" max="14083" width="10.28515625" style="124" bestFit="1" customWidth="1"/>
    <col min="14084" max="14084" width="9.5703125" style="124" customWidth="1"/>
    <col min="14085" max="14090" width="8.28515625" style="124" customWidth="1"/>
    <col min="14091" max="14091" width="9.42578125" style="124" customWidth="1"/>
    <col min="14092" max="14093" width="9.28515625" style="124" customWidth="1"/>
    <col min="14094" max="14104" width="8.28515625" style="124" customWidth="1"/>
    <col min="14105" max="14105" width="10.85546875" style="124" customWidth="1"/>
    <col min="14106" max="14323" width="9.140625" style="124"/>
    <col min="14324" max="14324" width="5.140625" style="124" customWidth="1"/>
    <col min="14325" max="14325" width="21.42578125" style="124" customWidth="1"/>
    <col min="14326" max="14326" width="11.140625" style="124" customWidth="1"/>
    <col min="14327" max="14327" width="9.42578125" style="124" customWidth="1"/>
    <col min="14328" max="14328" width="11.85546875" style="124" customWidth="1"/>
    <col min="14329" max="14329" width="10.42578125" style="124" customWidth="1"/>
    <col min="14330" max="14330" width="9.28515625" style="124" customWidth="1"/>
    <col min="14331" max="14331" width="11.28515625" style="124" customWidth="1"/>
    <col min="14332" max="14333" width="8.28515625" style="124" customWidth="1"/>
    <col min="14334" max="14334" width="9.42578125" style="124" customWidth="1"/>
    <col min="14335" max="14335" width="10.5703125" style="124" customWidth="1"/>
    <col min="14336" max="14336" width="10.5703125" style="124" bestFit="1" customWidth="1"/>
    <col min="14337" max="14337" width="10.5703125" style="124" customWidth="1"/>
    <col min="14338" max="14338" width="8.28515625" style="124" customWidth="1"/>
    <col min="14339" max="14339" width="10.28515625" style="124" bestFit="1" customWidth="1"/>
    <col min="14340" max="14340" width="9.5703125" style="124" customWidth="1"/>
    <col min="14341" max="14346" width="8.28515625" style="124" customWidth="1"/>
    <col min="14347" max="14347" width="9.42578125" style="124" customWidth="1"/>
    <col min="14348" max="14349" width="9.28515625" style="124" customWidth="1"/>
    <col min="14350" max="14360" width="8.28515625" style="124" customWidth="1"/>
    <col min="14361" max="14361" width="10.85546875" style="124" customWidth="1"/>
    <col min="14362" max="14579" width="9.140625" style="124"/>
    <col min="14580" max="14580" width="5.140625" style="124" customWidth="1"/>
    <col min="14581" max="14581" width="21.42578125" style="124" customWidth="1"/>
    <col min="14582" max="14582" width="11.140625" style="124" customWidth="1"/>
    <col min="14583" max="14583" width="9.42578125" style="124" customWidth="1"/>
    <col min="14584" max="14584" width="11.85546875" style="124" customWidth="1"/>
    <col min="14585" max="14585" width="10.42578125" style="124" customWidth="1"/>
    <col min="14586" max="14586" width="9.28515625" style="124" customWidth="1"/>
    <col min="14587" max="14587" width="11.28515625" style="124" customWidth="1"/>
    <col min="14588" max="14589" width="8.28515625" style="124" customWidth="1"/>
    <col min="14590" max="14590" width="9.42578125" style="124" customWidth="1"/>
    <col min="14591" max="14591" width="10.5703125" style="124" customWidth="1"/>
    <col min="14592" max="14592" width="10.5703125" style="124" bestFit="1" customWidth="1"/>
    <col min="14593" max="14593" width="10.5703125" style="124" customWidth="1"/>
    <col min="14594" max="14594" width="8.28515625" style="124" customWidth="1"/>
    <col min="14595" max="14595" width="10.28515625" style="124" bestFit="1" customWidth="1"/>
    <col min="14596" max="14596" width="9.5703125" style="124" customWidth="1"/>
    <col min="14597" max="14602" width="8.28515625" style="124" customWidth="1"/>
    <col min="14603" max="14603" width="9.42578125" style="124" customWidth="1"/>
    <col min="14604" max="14605" width="9.28515625" style="124" customWidth="1"/>
    <col min="14606" max="14616" width="8.28515625" style="124" customWidth="1"/>
    <col min="14617" max="14617" width="10.85546875" style="124" customWidth="1"/>
    <col min="14618" max="14835" width="9.140625" style="124"/>
    <col min="14836" max="14836" width="5.140625" style="124" customWidth="1"/>
    <col min="14837" max="14837" width="21.42578125" style="124" customWidth="1"/>
    <col min="14838" max="14838" width="11.140625" style="124" customWidth="1"/>
    <col min="14839" max="14839" width="9.42578125" style="124" customWidth="1"/>
    <col min="14840" max="14840" width="11.85546875" style="124" customWidth="1"/>
    <col min="14841" max="14841" width="10.42578125" style="124" customWidth="1"/>
    <col min="14842" max="14842" width="9.28515625" style="124" customWidth="1"/>
    <col min="14843" max="14843" width="11.28515625" style="124" customWidth="1"/>
    <col min="14844" max="14845" width="8.28515625" style="124" customWidth="1"/>
    <col min="14846" max="14846" width="9.42578125" style="124" customWidth="1"/>
    <col min="14847" max="14847" width="10.5703125" style="124" customWidth="1"/>
    <col min="14848" max="14848" width="10.5703125" style="124" bestFit="1" customWidth="1"/>
    <col min="14849" max="14849" width="10.5703125" style="124" customWidth="1"/>
    <col min="14850" max="14850" width="8.28515625" style="124" customWidth="1"/>
    <col min="14851" max="14851" width="10.28515625" style="124" bestFit="1" customWidth="1"/>
    <col min="14852" max="14852" width="9.5703125" style="124" customWidth="1"/>
    <col min="14853" max="14858" width="8.28515625" style="124" customWidth="1"/>
    <col min="14859" max="14859" width="9.42578125" style="124" customWidth="1"/>
    <col min="14860" max="14861" width="9.28515625" style="124" customWidth="1"/>
    <col min="14862" max="14872" width="8.28515625" style="124" customWidth="1"/>
    <col min="14873" max="14873" width="10.85546875" style="124" customWidth="1"/>
    <col min="14874" max="15091" width="9.140625" style="124"/>
    <col min="15092" max="15092" width="5.140625" style="124" customWidth="1"/>
    <col min="15093" max="15093" width="21.42578125" style="124" customWidth="1"/>
    <col min="15094" max="15094" width="11.140625" style="124" customWidth="1"/>
    <col min="15095" max="15095" width="9.42578125" style="124" customWidth="1"/>
    <col min="15096" max="15096" width="11.85546875" style="124" customWidth="1"/>
    <col min="15097" max="15097" width="10.42578125" style="124" customWidth="1"/>
    <col min="15098" max="15098" width="9.28515625" style="124" customWidth="1"/>
    <col min="15099" max="15099" width="11.28515625" style="124" customWidth="1"/>
    <col min="15100" max="15101" width="8.28515625" style="124" customWidth="1"/>
    <col min="15102" max="15102" width="9.42578125" style="124" customWidth="1"/>
    <col min="15103" max="15103" width="10.5703125" style="124" customWidth="1"/>
    <col min="15104" max="15104" width="10.5703125" style="124" bestFit="1" customWidth="1"/>
    <col min="15105" max="15105" width="10.5703125" style="124" customWidth="1"/>
    <col min="15106" max="15106" width="8.28515625" style="124" customWidth="1"/>
    <col min="15107" max="15107" width="10.28515625" style="124" bestFit="1" customWidth="1"/>
    <col min="15108" max="15108" width="9.5703125" style="124" customWidth="1"/>
    <col min="15109" max="15114" width="8.28515625" style="124" customWidth="1"/>
    <col min="15115" max="15115" width="9.42578125" style="124" customWidth="1"/>
    <col min="15116" max="15117" width="9.28515625" style="124" customWidth="1"/>
    <col min="15118" max="15128" width="8.28515625" style="124" customWidth="1"/>
    <col min="15129" max="15129" width="10.85546875" style="124" customWidth="1"/>
    <col min="15130" max="15347" width="9.140625" style="124"/>
    <col min="15348" max="15348" width="5.140625" style="124" customWidth="1"/>
    <col min="15349" max="15349" width="21.42578125" style="124" customWidth="1"/>
    <col min="15350" max="15350" width="11.140625" style="124" customWidth="1"/>
    <col min="15351" max="15351" width="9.42578125" style="124" customWidth="1"/>
    <col min="15352" max="15352" width="11.85546875" style="124" customWidth="1"/>
    <col min="15353" max="15353" width="10.42578125" style="124" customWidth="1"/>
    <col min="15354" max="15354" width="9.28515625" style="124" customWidth="1"/>
    <col min="15355" max="15355" width="11.28515625" style="124" customWidth="1"/>
    <col min="15356" max="15357" width="8.28515625" style="124" customWidth="1"/>
    <col min="15358" max="15358" width="9.42578125" style="124" customWidth="1"/>
    <col min="15359" max="15359" width="10.5703125" style="124" customWidth="1"/>
    <col min="15360" max="15360" width="10.5703125" style="124" bestFit="1" customWidth="1"/>
    <col min="15361" max="15361" width="10.5703125" style="124" customWidth="1"/>
    <col min="15362" max="15362" width="8.28515625" style="124" customWidth="1"/>
    <col min="15363" max="15363" width="10.28515625" style="124" bestFit="1" customWidth="1"/>
    <col min="15364" max="15364" width="9.5703125" style="124" customWidth="1"/>
    <col min="15365" max="15370" width="8.28515625" style="124" customWidth="1"/>
    <col min="15371" max="15371" width="9.42578125" style="124" customWidth="1"/>
    <col min="15372" max="15373" width="9.28515625" style="124" customWidth="1"/>
    <col min="15374" max="15384" width="8.28515625" style="124" customWidth="1"/>
    <col min="15385" max="15385" width="10.85546875" style="124" customWidth="1"/>
    <col min="15386" max="15603" width="9.140625" style="124"/>
    <col min="15604" max="15604" width="5.140625" style="124" customWidth="1"/>
    <col min="15605" max="15605" width="21.42578125" style="124" customWidth="1"/>
    <col min="15606" max="15606" width="11.140625" style="124" customWidth="1"/>
    <col min="15607" max="15607" width="9.42578125" style="124" customWidth="1"/>
    <col min="15608" max="15608" width="11.85546875" style="124" customWidth="1"/>
    <col min="15609" max="15609" width="10.42578125" style="124" customWidth="1"/>
    <col min="15610" max="15610" width="9.28515625" style="124" customWidth="1"/>
    <col min="15611" max="15611" width="11.28515625" style="124" customWidth="1"/>
    <col min="15612" max="15613" width="8.28515625" style="124" customWidth="1"/>
    <col min="15614" max="15614" width="9.42578125" style="124" customWidth="1"/>
    <col min="15615" max="15615" width="10.5703125" style="124" customWidth="1"/>
    <col min="15616" max="15616" width="10.5703125" style="124" bestFit="1" customWidth="1"/>
    <col min="15617" max="15617" width="10.5703125" style="124" customWidth="1"/>
    <col min="15618" max="15618" width="8.28515625" style="124" customWidth="1"/>
    <col min="15619" max="15619" width="10.28515625" style="124" bestFit="1" customWidth="1"/>
    <col min="15620" max="15620" width="9.5703125" style="124" customWidth="1"/>
    <col min="15621" max="15626" width="8.28515625" style="124" customWidth="1"/>
    <col min="15627" max="15627" width="9.42578125" style="124" customWidth="1"/>
    <col min="15628" max="15629" width="9.28515625" style="124" customWidth="1"/>
    <col min="15630" max="15640" width="8.28515625" style="124" customWidth="1"/>
    <col min="15641" max="15641" width="10.85546875" style="124" customWidth="1"/>
    <col min="15642" max="15859" width="9.140625" style="124"/>
    <col min="15860" max="15860" width="5.140625" style="124" customWidth="1"/>
    <col min="15861" max="15861" width="21.42578125" style="124" customWidth="1"/>
    <col min="15862" max="15862" width="11.140625" style="124" customWidth="1"/>
    <col min="15863" max="15863" width="9.42578125" style="124" customWidth="1"/>
    <col min="15864" max="15864" width="11.85546875" style="124" customWidth="1"/>
    <col min="15865" max="15865" width="10.42578125" style="124" customWidth="1"/>
    <col min="15866" max="15866" width="9.28515625" style="124" customWidth="1"/>
    <col min="15867" max="15867" width="11.28515625" style="124" customWidth="1"/>
    <col min="15868" max="15869" width="8.28515625" style="124" customWidth="1"/>
    <col min="15870" max="15870" width="9.42578125" style="124" customWidth="1"/>
    <col min="15871" max="15871" width="10.5703125" style="124" customWidth="1"/>
    <col min="15872" max="15872" width="10.5703125" style="124" bestFit="1" customWidth="1"/>
    <col min="15873" max="15873" width="10.5703125" style="124" customWidth="1"/>
    <col min="15874" max="15874" width="8.28515625" style="124" customWidth="1"/>
    <col min="15875" max="15875" width="10.28515625" style="124" bestFit="1" customWidth="1"/>
    <col min="15876" max="15876" width="9.5703125" style="124" customWidth="1"/>
    <col min="15877" max="15882" width="8.28515625" style="124" customWidth="1"/>
    <col min="15883" max="15883" width="9.42578125" style="124" customWidth="1"/>
    <col min="15884" max="15885" width="9.28515625" style="124" customWidth="1"/>
    <col min="15886" max="15896" width="8.28515625" style="124" customWidth="1"/>
    <col min="15897" max="15897" width="10.85546875" style="124" customWidth="1"/>
    <col min="15898" max="16115" width="9.140625" style="124"/>
    <col min="16116" max="16116" width="5.140625" style="124" customWidth="1"/>
    <col min="16117" max="16117" width="21.42578125" style="124" customWidth="1"/>
    <col min="16118" max="16118" width="11.140625" style="124" customWidth="1"/>
    <col min="16119" max="16119" width="9.42578125" style="124" customWidth="1"/>
    <col min="16120" max="16120" width="11.85546875" style="124" customWidth="1"/>
    <col min="16121" max="16121" width="10.42578125" style="124" customWidth="1"/>
    <col min="16122" max="16122" width="9.28515625" style="124" customWidth="1"/>
    <col min="16123" max="16123" width="11.28515625" style="124" customWidth="1"/>
    <col min="16124" max="16125" width="8.28515625" style="124" customWidth="1"/>
    <col min="16126" max="16126" width="9.42578125" style="124" customWidth="1"/>
    <col min="16127" max="16127" width="10.5703125" style="124" customWidth="1"/>
    <col min="16128" max="16128" width="10.5703125" style="124" bestFit="1" customWidth="1"/>
    <col min="16129" max="16129" width="10.5703125" style="124" customWidth="1"/>
    <col min="16130" max="16130" width="8.28515625" style="124" customWidth="1"/>
    <col min="16131" max="16131" width="10.28515625" style="124" bestFit="1" customWidth="1"/>
    <col min="16132" max="16132" width="9.5703125" style="124" customWidth="1"/>
    <col min="16133" max="16138" width="8.28515625" style="124" customWidth="1"/>
    <col min="16139" max="16139" width="9.42578125" style="124" customWidth="1"/>
    <col min="16140" max="16141" width="9.28515625" style="124" customWidth="1"/>
    <col min="16142" max="16152" width="8.28515625" style="124" customWidth="1"/>
    <col min="16153" max="16153" width="10.85546875" style="124" customWidth="1"/>
    <col min="16154" max="16384" width="9.140625" style="124"/>
  </cols>
  <sheetData>
    <row r="1" spans="1:62" s="123" customFormat="1" ht="17.25" customHeight="1">
      <c r="A1" s="120"/>
      <c r="B1" s="30"/>
      <c r="C1" s="121" t="s">
        <v>134</v>
      </c>
      <c r="D1" s="122"/>
      <c r="E1" s="122"/>
      <c r="F1" s="122"/>
      <c r="G1" s="122"/>
      <c r="H1" s="122"/>
      <c r="I1" s="122" t="str">
        <f>C1</f>
        <v>Table B4: ENROLMENT IN OPEN SCHOOL EDUCATION</v>
      </c>
      <c r="J1" s="122"/>
      <c r="K1" s="122"/>
      <c r="L1" s="122"/>
      <c r="M1" s="122"/>
      <c r="N1" s="122"/>
      <c r="O1" s="122" t="str">
        <f>C1</f>
        <v>Table B4: ENROLMENT IN OPEN SCHOOL EDUCATION</v>
      </c>
      <c r="P1" s="122"/>
      <c r="Q1" s="122"/>
      <c r="R1" s="122"/>
      <c r="S1" s="122"/>
      <c r="T1" s="122"/>
      <c r="U1" s="122" t="str">
        <f>O1</f>
        <v>Table B4: ENROLMENT IN OPEN SCHOOL EDUCATION</v>
      </c>
      <c r="V1" s="122"/>
      <c r="W1" s="122"/>
      <c r="X1" s="122"/>
      <c r="Y1" s="122"/>
      <c r="Z1" s="122"/>
      <c r="AA1" s="122" t="str">
        <f>O1</f>
        <v>Table B4: ENROLMENT IN OPEN SCHOOL EDUCATION</v>
      </c>
      <c r="AB1" s="122"/>
      <c r="AC1" s="122"/>
      <c r="AD1" s="122"/>
      <c r="AE1" s="122"/>
      <c r="AF1" s="122"/>
      <c r="AG1" s="122" t="str">
        <f>AA1</f>
        <v>Table B4: ENROLMENT IN OPEN SCHOOL EDUCATION</v>
      </c>
      <c r="AH1" s="122"/>
      <c r="AI1" s="122"/>
      <c r="AJ1" s="122"/>
      <c r="AK1" s="122"/>
      <c r="AL1" s="122"/>
    </row>
    <row r="2" spans="1:62" s="137" customFormat="1" ht="15.75" customHeight="1">
      <c r="C2" s="139" t="s">
        <v>81</v>
      </c>
      <c r="I2" s="139" t="str">
        <f>C2</f>
        <v>All Categories</v>
      </c>
      <c r="O2" s="139" t="s">
        <v>79</v>
      </c>
      <c r="U2" s="139" t="str">
        <f>O2</f>
        <v>Scheduled Caste</v>
      </c>
      <c r="AA2" s="139" t="s">
        <v>80</v>
      </c>
      <c r="AG2" s="139" t="str">
        <f>AA2</f>
        <v>Scheduled Tribe</v>
      </c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</row>
    <row r="3" spans="1:62" ht="21.75" customHeight="1">
      <c r="A3" s="307" t="s">
        <v>67</v>
      </c>
      <c r="B3" s="307" t="s">
        <v>65</v>
      </c>
      <c r="C3" s="304" t="s">
        <v>75</v>
      </c>
      <c r="D3" s="304"/>
      <c r="E3" s="304"/>
      <c r="F3" s="304" t="s">
        <v>78</v>
      </c>
      <c r="G3" s="304"/>
      <c r="H3" s="304"/>
      <c r="I3" s="303" t="s">
        <v>76</v>
      </c>
      <c r="J3" s="303"/>
      <c r="K3" s="303"/>
      <c r="L3" s="304" t="s">
        <v>15</v>
      </c>
      <c r="M3" s="304"/>
      <c r="N3" s="304"/>
      <c r="O3" s="304" t="s">
        <v>75</v>
      </c>
      <c r="P3" s="304"/>
      <c r="Q3" s="304"/>
      <c r="R3" s="304" t="s">
        <v>78</v>
      </c>
      <c r="S3" s="304"/>
      <c r="T3" s="304"/>
      <c r="U3" s="303" t="s">
        <v>76</v>
      </c>
      <c r="V3" s="303"/>
      <c r="W3" s="303"/>
      <c r="X3" s="304" t="s">
        <v>15</v>
      </c>
      <c r="Y3" s="304"/>
      <c r="Z3" s="304"/>
      <c r="AA3" s="304" t="s">
        <v>75</v>
      </c>
      <c r="AB3" s="304"/>
      <c r="AC3" s="304"/>
      <c r="AD3" s="304" t="s">
        <v>78</v>
      </c>
      <c r="AE3" s="304"/>
      <c r="AF3" s="304"/>
      <c r="AG3" s="303" t="s">
        <v>76</v>
      </c>
      <c r="AH3" s="303"/>
      <c r="AI3" s="303"/>
      <c r="AJ3" s="304" t="s">
        <v>15</v>
      </c>
      <c r="AK3" s="304"/>
      <c r="AL3" s="304"/>
    </row>
    <row r="4" spans="1:62" ht="21.75" customHeight="1">
      <c r="A4" s="307"/>
      <c r="B4" s="307"/>
      <c r="C4" s="125" t="s">
        <v>13</v>
      </c>
      <c r="D4" s="125" t="s">
        <v>14</v>
      </c>
      <c r="E4" s="125" t="s">
        <v>15</v>
      </c>
      <c r="F4" s="126" t="s">
        <v>13</v>
      </c>
      <c r="G4" s="126" t="s">
        <v>14</v>
      </c>
      <c r="H4" s="126" t="s">
        <v>15</v>
      </c>
      <c r="I4" s="126" t="s">
        <v>13</v>
      </c>
      <c r="J4" s="126" t="s">
        <v>14</v>
      </c>
      <c r="K4" s="126" t="s">
        <v>15</v>
      </c>
      <c r="L4" s="126" t="s">
        <v>13</v>
      </c>
      <c r="M4" s="126" t="s">
        <v>14</v>
      </c>
      <c r="N4" s="126" t="s">
        <v>15</v>
      </c>
      <c r="O4" s="125" t="s">
        <v>13</v>
      </c>
      <c r="P4" s="125" t="s">
        <v>14</v>
      </c>
      <c r="Q4" s="125" t="s">
        <v>15</v>
      </c>
      <c r="R4" s="126" t="s">
        <v>13</v>
      </c>
      <c r="S4" s="126" t="s">
        <v>14</v>
      </c>
      <c r="T4" s="126" t="s">
        <v>15</v>
      </c>
      <c r="U4" s="126" t="s">
        <v>13</v>
      </c>
      <c r="V4" s="126" t="s">
        <v>14</v>
      </c>
      <c r="W4" s="126" t="s">
        <v>15</v>
      </c>
      <c r="X4" s="126" t="s">
        <v>13</v>
      </c>
      <c r="Y4" s="126" t="s">
        <v>14</v>
      </c>
      <c r="Z4" s="126" t="s">
        <v>15</v>
      </c>
      <c r="AA4" s="125" t="s">
        <v>13</v>
      </c>
      <c r="AB4" s="125" t="s">
        <v>14</v>
      </c>
      <c r="AC4" s="125" t="s">
        <v>15</v>
      </c>
      <c r="AD4" s="126" t="s">
        <v>13</v>
      </c>
      <c r="AE4" s="126" t="s">
        <v>14</v>
      </c>
      <c r="AF4" s="126" t="s">
        <v>15</v>
      </c>
      <c r="AG4" s="126" t="s">
        <v>13</v>
      </c>
      <c r="AH4" s="126" t="s">
        <v>14</v>
      </c>
      <c r="AI4" s="126" t="s">
        <v>15</v>
      </c>
      <c r="AJ4" s="126" t="s">
        <v>13</v>
      </c>
      <c r="AK4" s="126" t="s">
        <v>14</v>
      </c>
      <c r="AL4" s="126" t="s">
        <v>15</v>
      </c>
    </row>
    <row r="5" spans="1:62" ht="12" customHeight="1">
      <c r="A5" s="127">
        <v>1</v>
      </c>
      <c r="B5" s="127">
        <v>2</v>
      </c>
      <c r="C5" s="127">
        <v>3</v>
      </c>
      <c r="D5" s="127">
        <v>4</v>
      </c>
      <c r="E5" s="127">
        <v>5</v>
      </c>
      <c r="F5" s="127">
        <v>6</v>
      </c>
      <c r="G5" s="127">
        <v>7</v>
      </c>
      <c r="H5" s="127">
        <v>8</v>
      </c>
      <c r="I5" s="127">
        <v>9</v>
      </c>
      <c r="J5" s="127">
        <v>10</v>
      </c>
      <c r="K5" s="127">
        <v>11</v>
      </c>
      <c r="L5" s="127">
        <v>12</v>
      </c>
      <c r="M5" s="127">
        <v>13</v>
      </c>
      <c r="N5" s="127">
        <v>14</v>
      </c>
      <c r="O5" s="127">
        <v>15</v>
      </c>
      <c r="P5" s="127">
        <v>16</v>
      </c>
      <c r="Q5" s="127">
        <v>17</v>
      </c>
      <c r="R5" s="127">
        <v>18</v>
      </c>
      <c r="S5" s="127">
        <v>19</v>
      </c>
      <c r="T5" s="127">
        <v>20</v>
      </c>
      <c r="U5" s="127">
        <v>21</v>
      </c>
      <c r="V5" s="127">
        <v>22</v>
      </c>
      <c r="W5" s="127">
        <v>23</v>
      </c>
      <c r="X5" s="127">
        <v>24</v>
      </c>
      <c r="Y5" s="127">
        <v>25</v>
      </c>
      <c r="Z5" s="127">
        <v>26</v>
      </c>
      <c r="AA5" s="127">
        <v>27</v>
      </c>
      <c r="AB5" s="127">
        <v>28</v>
      </c>
      <c r="AC5" s="127">
        <v>29</v>
      </c>
      <c r="AD5" s="127">
        <v>30</v>
      </c>
      <c r="AE5" s="127">
        <v>31</v>
      </c>
      <c r="AF5" s="127">
        <v>32</v>
      </c>
      <c r="AG5" s="127">
        <v>33</v>
      </c>
      <c r="AH5" s="127">
        <v>34</v>
      </c>
      <c r="AI5" s="127">
        <v>35</v>
      </c>
      <c r="AJ5" s="127">
        <v>36</v>
      </c>
      <c r="AK5" s="127">
        <v>37</v>
      </c>
      <c r="AL5" s="127">
        <v>38</v>
      </c>
    </row>
    <row r="6" spans="1:62" ht="18" customHeight="1">
      <c r="A6" s="128">
        <v>1</v>
      </c>
      <c r="B6" s="129" t="s">
        <v>16</v>
      </c>
      <c r="C6" s="130">
        <v>1685</v>
      </c>
      <c r="D6" s="130">
        <v>491</v>
      </c>
      <c r="E6" s="130">
        <f>C6+D6</f>
        <v>2176</v>
      </c>
      <c r="F6" s="130">
        <v>6951</v>
      </c>
      <c r="G6" s="130">
        <v>1365</v>
      </c>
      <c r="H6" s="130">
        <f>F6+G6</f>
        <v>8316</v>
      </c>
      <c r="I6" s="130">
        <v>33</v>
      </c>
      <c r="J6" s="130">
        <v>120</v>
      </c>
      <c r="K6" s="130">
        <f>I6+J6</f>
        <v>153</v>
      </c>
      <c r="L6" s="130">
        <f>C6+F6+I6</f>
        <v>8669</v>
      </c>
      <c r="M6" s="130">
        <f t="shared" ref="M6:N21" si="0">D6+G6+J6</f>
        <v>1976</v>
      </c>
      <c r="N6" s="130">
        <f t="shared" si="0"/>
        <v>10645</v>
      </c>
      <c r="O6" s="130">
        <v>123</v>
      </c>
      <c r="P6" s="130">
        <v>50</v>
      </c>
      <c r="Q6" s="130">
        <f>O6+P6</f>
        <v>173</v>
      </c>
      <c r="R6" s="130">
        <v>831</v>
      </c>
      <c r="S6" s="130">
        <v>186</v>
      </c>
      <c r="T6" s="130">
        <f>R6+S6</f>
        <v>1017</v>
      </c>
      <c r="U6" s="130">
        <v>0</v>
      </c>
      <c r="V6" s="130">
        <v>2</v>
      </c>
      <c r="W6" s="130">
        <f>U6+V6</f>
        <v>2</v>
      </c>
      <c r="X6" s="130">
        <f>O6+R6+U6</f>
        <v>954</v>
      </c>
      <c r="Y6" s="130">
        <f t="shared" ref="Y6:Z40" si="1">P6+S6+V6</f>
        <v>238</v>
      </c>
      <c r="Z6" s="130">
        <f t="shared" si="1"/>
        <v>1192</v>
      </c>
      <c r="AA6" s="130">
        <v>56</v>
      </c>
      <c r="AB6" s="130">
        <v>27</v>
      </c>
      <c r="AC6" s="130">
        <f>AA6+AB6</f>
        <v>83</v>
      </c>
      <c r="AD6" s="130">
        <v>246</v>
      </c>
      <c r="AE6" s="130">
        <v>74</v>
      </c>
      <c r="AF6" s="130">
        <f>AD6+AE6</f>
        <v>320</v>
      </c>
      <c r="AG6" s="130">
        <v>0</v>
      </c>
      <c r="AH6" s="130">
        <v>0</v>
      </c>
      <c r="AI6" s="130">
        <f>AG6+AH6</f>
        <v>0</v>
      </c>
      <c r="AJ6" s="130">
        <f>AA6+AD6+AG6</f>
        <v>302</v>
      </c>
      <c r="AK6" s="130">
        <f t="shared" ref="AK6:AL40" si="2">AB6+AE6+AH6</f>
        <v>101</v>
      </c>
      <c r="AL6" s="130">
        <f t="shared" si="2"/>
        <v>403</v>
      </c>
    </row>
    <row r="7" spans="1:62" ht="18" customHeight="1">
      <c r="A7" s="128">
        <v>2</v>
      </c>
      <c r="B7" s="129" t="s">
        <v>17</v>
      </c>
      <c r="C7" s="130">
        <v>979</v>
      </c>
      <c r="D7" s="130">
        <v>1333</v>
      </c>
      <c r="E7" s="130">
        <f t="shared" ref="E7:E40" si="3">C7+D7</f>
        <v>2312</v>
      </c>
      <c r="F7" s="130">
        <v>452</v>
      </c>
      <c r="G7" s="130">
        <v>746</v>
      </c>
      <c r="H7" s="130">
        <f t="shared" ref="H7:H40" si="4">F7+G7</f>
        <v>1198</v>
      </c>
      <c r="I7" s="130">
        <v>0</v>
      </c>
      <c r="J7" s="130">
        <v>0</v>
      </c>
      <c r="K7" s="130">
        <f t="shared" ref="K7:K40" si="5">I7+J7</f>
        <v>0</v>
      </c>
      <c r="L7" s="130">
        <f t="shared" ref="L7:N40" si="6">C7+F7+I7</f>
        <v>1431</v>
      </c>
      <c r="M7" s="130">
        <f t="shared" si="0"/>
        <v>2079</v>
      </c>
      <c r="N7" s="130">
        <f t="shared" si="0"/>
        <v>3510</v>
      </c>
      <c r="O7" s="130">
        <v>7</v>
      </c>
      <c r="P7" s="130">
        <v>3</v>
      </c>
      <c r="Q7" s="130">
        <f t="shared" ref="Q7:Q40" si="7">O7+P7</f>
        <v>10</v>
      </c>
      <c r="R7" s="130">
        <v>9</v>
      </c>
      <c r="S7" s="130">
        <v>2</v>
      </c>
      <c r="T7" s="130">
        <f t="shared" ref="T7:T40" si="8">R7+S7</f>
        <v>11</v>
      </c>
      <c r="U7" s="130">
        <v>0</v>
      </c>
      <c r="V7" s="130">
        <v>0</v>
      </c>
      <c r="W7" s="130">
        <f t="shared" ref="W7:W40" si="9">U7+V7</f>
        <v>0</v>
      </c>
      <c r="X7" s="130">
        <f t="shared" ref="X7:X40" si="10">O7+R7+U7</f>
        <v>16</v>
      </c>
      <c r="Y7" s="130">
        <f t="shared" si="1"/>
        <v>5</v>
      </c>
      <c r="Z7" s="130">
        <f t="shared" si="1"/>
        <v>21</v>
      </c>
      <c r="AA7" s="130">
        <v>72</v>
      </c>
      <c r="AB7" s="130">
        <v>1156</v>
      </c>
      <c r="AC7" s="130">
        <f t="shared" ref="AC7:AC40" si="11">AA7+AB7</f>
        <v>1228</v>
      </c>
      <c r="AD7" s="130">
        <v>368</v>
      </c>
      <c r="AE7" s="130">
        <v>670</v>
      </c>
      <c r="AF7" s="130">
        <f t="shared" ref="AF7:AF40" si="12">AD7+AE7</f>
        <v>1038</v>
      </c>
      <c r="AG7" s="130">
        <v>0</v>
      </c>
      <c r="AH7" s="130">
        <v>0</v>
      </c>
      <c r="AI7" s="130">
        <f t="shared" ref="AI7:AI40" si="13">AG7+AH7</f>
        <v>0</v>
      </c>
      <c r="AJ7" s="130">
        <f t="shared" ref="AJ7:AJ40" si="14">AA7+AD7+AG7</f>
        <v>440</v>
      </c>
      <c r="AK7" s="130">
        <f t="shared" si="2"/>
        <v>1826</v>
      </c>
      <c r="AL7" s="130">
        <f t="shared" si="2"/>
        <v>2266</v>
      </c>
    </row>
    <row r="8" spans="1:62" ht="18" customHeight="1">
      <c r="A8" s="128">
        <v>3</v>
      </c>
      <c r="B8" s="129" t="s">
        <v>48</v>
      </c>
      <c r="C8" s="130">
        <v>1206</v>
      </c>
      <c r="D8" s="130">
        <v>704</v>
      </c>
      <c r="E8" s="130">
        <f t="shared" si="3"/>
        <v>1910</v>
      </c>
      <c r="F8" s="130">
        <v>1250</v>
      </c>
      <c r="G8" s="130">
        <v>545</v>
      </c>
      <c r="H8" s="130">
        <f t="shared" si="4"/>
        <v>1795</v>
      </c>
      <c r="I8" s="130">
        <v>111</v>
      </c>
      <c r="J8" s="130">
        <v>19</v>
      </c>
      <c r="K8" s="130">
        <f t="shared" si="5"/>
        <v>130</v>
      </c>
      <c r="L8" s="130">
        <f t="shared" si="6"/>
        <v>2567</v>
      </c>
      <c r="M8" s="130">
        <f t="shared" si="0"/>
        <v>1268</v>
      </c>
      <c r="N8" s="130">
        <f t="shared" si="0"/>
        <v>3835</v>
      </c>
      <c r="O8" s="130">
        <v>81</v>
      </c>
      <c r="P8" s="130">
        <v>17</v>
      </c>
      <c r="Q8" s="130">
        <f t="shared" si="7"/>
        <v>98</v>
      </c>
      <c r="R8" s="130">
        <v>111</v>
      </c>
      <c r="S8" s="130">
        <v>37</v>
      </c>
      <c r="T8" s="130">
        <f t="shared" si="8"/>
        <v>148</v>
      </c>
      <c r="U8" s="130">
        <v>0</v>
      </c>
      <c r="V8" s="130">
        <v>0</v>
      </c>
      <c r="W8" s="130">
        <f t="shared" si="9"/>
        <v>0</v>
      </c>
      <c r="X8" s="130">
        <f t="shared" si="10"/>
        <v>192</v>
      </c>
      <c r="Y8" s="130">
        <f t="shared" si="1"/>
        <v>54</v>
      </c>
      <c r="Z8" s="130">
        <f t="shared" si="1"/>
        <v>246</v>
      </c>
      <c r="AA8" s="130">
        <v>232</v>
      </c>
      <c r="AB8" s="130">
        <v>167</v>
      </c>
      <c r="AC8" s="130">
        <f t="shared" si="11"/>
        <v>399</v>
      </c>
      <c r="AD8" s="130">
        <v>215</v>
      </c>
      <c r="AE8" s="130">
        <v>71</v>
      </c>
      <c r="AF8" s="130">
        <f t="shared" si="12"/>
        <v>286</v>
      </c>
      <c r="AG8" s="130">
        <v>0</v>
      </c>
      <c r="AH8" s="130">
        <v>0</v>
      </c>
      <c r="AI8" s="130">
        <f t="shared" si="13"/>
        <v>0</v>
      </c>
      <c r="AJ8" s="130">
        <f t="shared" si="14"/>
        <v>447</v>
      </c>
      <c r="AK8" s="130">
        <f t="shared" si="2"/>
        <v>238</v>
      </c>
      <c r="AL8" s="130">
        <f t="shared" si="2"/>
        <v>685</v>
      </c>
    </row>
    <row r="9" spans="1:62" ht="18" customHeight="1">
      <c r="A9" s="128">
        <v>4</v>
      </c>
      <c r="B9" s="131" t="s">
        <v>49</v>
      </c>
      <c r="C9" s="130">
        <v>6164</v>
      </c>
      <c r="D9" s="130">
        <v>3353</v>
      </c>
      <c r="E9" s="130">
        <f t="shared" si="3"/>
        <v>9517</v>
      </c>
      <c r="F9" s="130">
        <v>7998</v>
      </c>
      <c r="G9" s="130">
        <v>3932</v>
      </c>
      <c r="H9" s="130">
        <f t="shared" si="4"/>
        <v>11930</v>
      </c>
      <c r="I9" s="130">
        <v>337</v>
      </c>
      <c r="J9" s="130">
        <v>468</v>
      </c>
      <c r="K9" s="130">
        <f t="shared" si="5"/>
        <v>805</v>
      </c>
      <c r="L9" s="130">
        <f t="shared" si="6"/>
        <v>14499</v>
      </c>
      <c r="M9" s="130">
        <f t="shared" si="0"/>
        <v>7753</v>
      </c>
      <c r="N9" s="130">
        <f t="shared" si="0"/>
        <v>22252</v>
      </c>
      <c r="O9" s="130">
        <v>774</v>
      </c>
      <c r="P9" s="130">
        <v>404</v>
      </c>
      <c r="Q9" s="130">
        <f t="shared" si="7"/>
        <v>1178</v>
      </c>
      <c r="R9" s="130">
        <v>685</v>
      </c>
      <c r="S9" s="130">
        <v>358</v>
      </c>
      <c r="T9" s="130">
        <f t="shared" si="8"/>
        <v>1043</v>
      </c>
      <c r="U9" s="130">
        <v>7</v>
      </c>
      <c r="V9" s="130">
        <v>4</v>
      </c>
      <c r="W9" s="130">
        <f t="shared" si="9"/>
        <v>11</v>
      </c>
      <c r="X9" s="130">
        <f t="shared" si="10"/>
        <v>1466</v>
      </c>
      <c r="Y9" s="130">
        <f t="shared" si="1"/>
        <v>766</v>
      </c>
      <c r="Z9" s="130">
        <f t="shared" si="1"/>
        <v>2232</v>
      </c>
      <c r="AA9" s="130">
        <v>54</v>
      </c>
      <c r="AB9" s="130">
        <v>38</v>
      </c>
      <c r="AC9" s="130">
        <f t="shared" si="11"/>
        <v>92</v>
      </c>
      <c r="AD9" s="130">
        <v>66</v>
      </c>
      <c r="AE9" s="130">
        <v>51</v>
      </c>
      <c r="AF9" s="130">
        <f t="shared" si="12"/>
        <v>117</v>
      </c>
      <c r="AG9" s="130">
        <v>0</v>
      </c>
      <c r="AH9" s="130">
        <v>4</v>
      </c>
      <c r="AI9" s="130">
        <f t="shared" si="13"/>
        <v>4</v>
      </c>
      <c r="AJ9" s="130">
        <f t="shared" si="14"/>
        <v>120</v>
      </c>
      <c r="AK9" s="130">
        <f t="shared" si="2"/>
        <v>93</v>
      </c>
      <c r="AL9" s="130">
        <f t="shared" si="2"/>
        <v>213</v>
      </c>
    </row>
    <row r="10" spans="1:62" ht="18" customHeight="1">
      <c r="A10" s="128">
        <v>5</v>
      </c>
      <c r="B10" s="131" t="s">
        <v>19</v>
      </c>
      <c r="C10" s="130">
        <v>1463</v>
      </c>
      <c r="D10" s="130">
        <v>930</v>
      </c>
      <c r="E10" s="130">
        <f t="shared" si="3"/>
        <v>2393</v>
      </c>
      <c r="F10" s="130">
        <v>855</v>
      </c>
      <c r="G10" s="130">
        <v>481</v>
      </c>
      <c r="H10" s="130">
        <f t="shared" si="4"/>
        <v>1336</v>
      </c>
      <c r="I10" s="130">
        <v>235</v>
      </c>
      <c r="J10" s="130">
        <v>103</v>
      </c>
      <c r="K10" s="130">
        <f t="shared" si="5"/>
        <v>338</v>
      </c>
      <c r="L10" s="130">
        <f t="shared" si="6"/>
        <v>2553</v>
      </c>
      <c r="M10" s="130">
        <f t="shared" si="0"/>
        <v>1514</v>
      </c>
      <c r="N10" s="130">
        <f t="shared" si="0"/>
        <v>4067</v>
      </c>
      <c r="O10" s="130">
        <v>124</v>
      </c>
      <c r="P10" s="130">
        <v>63</v>
      </c>
      <c r="Q10" s="130">
        <f t="shared" si="7"/>
        <v>187</v>
      </c>
      <c r="R10" s="130">
        <v>84</v>
      </c>
      <c r="S10" s="130">
        <v>42</v>
      </c>
      <c r="T10" s="130">
        <f t="shared" si="8"/>
        <v>126</v>
      </c>
      <c r="U10" s="130">
        <v>0</v>
      </c>
      <c r="V10" s="130">
        <v>0</v>
      </c>
      <c r="W10" s="130">
        <f t="shared" si="9"/>
        <v>0</v>
      </c>
      <c r="X10" s="130">
        <f t="shared" si="10"/>
        <v>208</v>
      </c>
      <c r="Y10" s="130">
        <f t="shared" si="1"/>
        <v>105</v>
      </c>
      <c r="Z10" s="130">
        <f t="shared" si="1"/>
        <v>313</v>
      </c>
      <c r="AA10" s="130">
        <v>358</v>
      </c>
      <c r="AB10" s="130">
        <v>223</v>
      </c>
      <c r="AC10" s="130">
        <f t="shared" si="11"/>
        <v>581</v>
      </c>
      <c r="AD10" s="130">
        <v>202</v>
      </c>
      <c r="AE10" s="130">
        <v>127</v>
      </c>
      <c r="AF10" s="130">
        <f t="shared" si="12"/>
        <v>329</v>
      </c>
      <c r="AG10" s="130">
        <v>0</v>
      </c>
      <c r="AH10" s="130">
        <v>0</v>
      </c>
      <c r="AI10" s="130">
        <f t="shared" si="13"/>
        <v>0</v>
      </c>
      <c r="AJ10" s="130">
        <f t="shared" si="14"/>
        <v>560</v>
      </c>
      <c r="AK10" s="130">
        <f t="shared" si="2"/>
        <v>350</v>
      </c>
      <c r="AL10" s="130">
        <f t="shared" si="2"/>
        <v>910</v>
      </c>
    </row>
    <row r="11" spans="1:62" ht="18" customHeight="1">
      <c r="A11" s="128">
        <v>6</v>
      </c>
      <c r="B11" s="129" t="s">
        <v>20</v>
      </c>
      <c r="C11" s="130">
        <v>2102</v>
      </c>
      <c r="D11" s="130">
        <v>862</v>
      </c>
      <c r="E11" s="130">
        <f t="shared" si="3"/>
        <v>2964</v>
      </c>
      <c r="F11" s="130">
        <v>769</v>
      </c>
      <c r="G11" s="130">
        <v>400</v>
      </c>
      <c r="H11" s="130">
        <f t="shared" si="4"/>
        <v>1169</v>
      </c>
      <c r="I11" s="130">
        <v>50</v>
      </c>
      <c r="J11" s="130">
        <v>18</v>
      </c>
      <c r="K11" s="130">
        <f t="shared" si="5"/>
        <v>68</v>
      </c>
      <c r="L11" s="130">
        <f t="shared" si="6"/>
        <v>2921</v>
      </c>
      <c r="M11" s="130">
        <f t="shared" si="0"/>
        <v>1280</v>
      </c>
      <c r="N11" s="130">
        <f t="shared" si="0"/>
        <v>4201</v>
      </c>
      <c r="O11" s="130">
        <v>17</v>
      </c>
      <c r="P11" s="130">
        <v>10</v>
      </c>
      <c r="Q11" s="130">
        <f t="shared" si="7"/>
        <v>27</v>
      </c>
      <c r="R11" s="130">
        <v>3</v>
      </c>
      <c r="S11" s="130">
        <v>1</v>
      </c>
      <c r="T11" s="130">
        <f t="shared" si="8"/>
        <v>4</v>
      </c>
      <c r="U11" s="130">
        <v>1</v>
      </c>
      <c r="V11" s="130">
        <v>0</v>
      </c>
      <c r="W11" s="130">
        <f t="shared" si="9"/>
        <v>1</v>
      </c>
      <c r="X11" s="130">
        <f t="shared" si="10"/>
        <v>21</v>
      </c>
      <c r="Y11" s="130">
        <f t="shared" si="1"/>
        <v>11</v>
      </c>
      <c r="Z11" s="130">
        <f t="shared" si="1"/>
        <v>32</v>
      </c>
      <c r="AA11" s="130">
        <v>22</v>
      </c>
      <c r="AB11" s="130">
        <v>14</v>
      </c>
      <c r="AC11" s="130">
        <f t="shared" si="11"/>
        <v>36</v>
      </c>
      <c r="AD11" s="130">
        <v>1</v>
      </c>
      <c r="AE11" s="130">
        <v>2</v>
      </c>
      <c r="AF11" s="130">
        <f t="shared" si="12"/>
        <v>3</v>
      </c>
      <c r="AG11" s="130">
        <v>0</v>
      </c>
      <c r="AH11" s="130">
        <v>0</v>
      </c>
      <c r="AI11" s="130">
        <f t="shared" si="13"/>
        <v>0</v>
      </c>
      <c r="AJ11" s="130">
        <f t="shared" si="14"/>
        <v>23</v>
      </c>
      <c r="AK11" s="130">
        <f t="shared" si="2"/>
        <v>16</v>
      </c>
      <c r="AL11" s="130">
        <f t="shared" si="2"/>
        <v>39</v>
      </c>
    </row>
    <row r="12" spans="1:62" ht="18" customHeight="1">
      <c r="A12" s="128">
        <v>7</v>
      </c>
      <c r="B12" s="129" t="s">
        <v>21</v>
      </c>
      <c r="C12" s="130">
        <v>1134</v>
      </c>
      <c r="D12" s="130">
        <v>466</v>
      </c>
      <c r="E12" s="130">
        <f t="shared" si="3"/>
        <v>1600</v>
      </c>
      <c r="F12" s="130">
        <v>566</v>
      </c>
      <c r="G12" s="130">
        <v>243</v>
      </c>
      <c r="H12" s="130">
        <f t="shared" si="4"/>
        <v>809</v>
      </c>
      <c r="I12" s="130">
        <v>54</v>
      </c>
      <c r="J12" s="130">
        <v>82</v>
      </c>
      <c r="K12" s="130">
        <f t="shared" si="5"/>
        <v>136</v>
      </c>
      <c r="L12" s="130">
        <f t="shared" si="6"/>
        <v>1754</v>
      </c>
      <c r="M12" s="130">
        <f t="shared" si="0"/>
        <v>791</v>
      </c>
      <c r="N12" s="130">
        <f t="shared" si="0"/>
        <v>2545</v>
      </c>
      <c r="O12" s="130">
        <v>411</v>
      </c>
      <c r="P12" s="130">
        <v>127</v>
      </c>
      <c r="Q12" s="130">
        <f t="shared" si="7"/>
        <v>538</v>
      </c>
      <c r="R12" s="130">
        <v>22</v>
      </c>
      <c r="S12" s="130">
        <v>4</v>
      </c>
      <c r="T12" s="130">
        <f t="shared" si="8"/>
        <v>26</v>
      </c>
      <c r="U12" s="130">
        <v>7</v>
      </c>
      <c r="V12" s="130">
        <v>0</v>
      </c>
      <c r="W12" s="130">
        <f t="shared" si="9"/>
        <v>7</v>
      </c>
      <c r="X12" s="130">
        <f t="shared" si="10"/>
        <v>440</v>
      </c>
      <c r="Y12" s="130">
        <f t="shared" si="1"/>
        <v>131</v>
      </c>
      <c r="Z12" s="130">
        <f t="shared" si="1"/>
        <v>571</v>
      </c>
      <c r="AA12" s="130">
        <v>19</v>
      </c>
      <c r="AB12" s="130">
        <v>25</v>
      </c>
      <c r="AC12" s="130">
        <f t="shared" si="11"/>
        <v>44</v>
      </c>
      <c r="AD12" s="130">
        <v>6</v>
      </c>
      <c r="AE12" s="130">
        <v>4</v>
      </c>
      <c r="AF12" s="130">
        <f t="shared" si="12"/>
        <v>10</v>
      </c>
      <c r="AG12" s="130">
        <v>10</v>
      </c>
      <c r="AH12" s="130">
        <v>0</v>
      </c>
      <c r="AI12" s="130">
        <f t="shared" si="13"/>
        <v>10</v>
      </c>
      <c r="AJ12" s="130">
        <f t="shared" si="14"/>
        <v>35</v>
      </c>
      <c r="AK12" s="130">
        <f t="shared" si="2"/>
        <v>29</v>
      </c>
      <c r="AL12" s="130">
        <f t="shared" si="2"/>
        <v>64</v>
      </c>
    </row>
    <row r="13" spans="1:62" ht="18" customHeight="1">
      <c r="A13" s="128">
        <v>8</v>
      </c>
      <c r="B13" s="129" t="s">
        <v>22</v>
      </c>
      <c r="C13" s="130">
        <v>24168</v>
      </c>
      <c r="D13" s="130">
        <v>5794</v>
      </c>
      <c r="E13" s="130">
        <f t="shared" si="3"/>
        <v>29962</v>
      </c>
      <c r="F13" s="130">
        <v>25833</v>
      </c>
      <c r="G13" s="130">
        <v>7202</v>
      </c>
      <c r="H13" s="130">
        <f t="shared" si="4"/>
        <v>33035</v>
      </c>
      <c r="I13" s="130">
        <v>231</v>
      </c>
      <c r="J13" s="130">
        <v>957</v>
      </c>
      <c r="K13" s="130">
        <f t="shared" si="5"/>
        <v>1188</v>
      </c>
      <c r="L13" s="130">
        <f t="shared" si="6"/>
        <v>50232</v>
      </c>
      <c r="M13" s="130">
        <f t="shared" si="0"/>
        <v>13953</v>
      </c>
      <c r="N13" s="130">
        <f t="shared" si="0"/>
        <v>64185</v>
      </c>
      <c r="O13" s="130">
        <v>4474</v>
      </c>
      <c r="P13" s="130">
        <v>632</v>
      </c>
      <c r="Q13" s="130">
        <f t="shared" si="7"/>
        <v>5106</v>
      </c>
      <c r="R13" s="130">
        <v>4050</v>
      </c>
      <c r="S13" s="130">
        <v>777</v>
      </c>
      <c r="T13" s="130">
        <f t="shared" si="8"/>
        <v>4827</v>
      </c>
      <c r="U13" s="130">
        <v>15</v>
      </c>
      <c r="V13" s="130">
        <v>71</v>
      </c>
      <c r="W13" s="130">
        <f t="shared" si="9"/>
        <v>86</v>
      </c>
      <c r="X13" s="130">
        <f t="shared" si="10"/>
        <v>8539</v>
      </c>
      <c r="Y13" s="130">
        <f t="shared" si="1"/>
        <v>1480</v>
      </c>
      <c r="Z13" s="130">
        <f t="shared" si="1"/>
        <v>10019</v>
      </c>
      <c r="AA13" s="130">
        <v>78</v>
      </c>
      <c r="AB13" s="130">
        <v>9</v>
      </c>
      <c r="AC13" s="130">
        <f t="shared" si="11"/>
        <v>87</v>
      </c>
      <c r="AD13" s="130">
        <v>34</v>
      </c>
      <c r="AE13" s="130">
        <v>9</v>
      </c>
      <c r="AF13" s="130">
        <f t="shared" si="12"/>
        <v>43</v>
      </c>
      <c r="AG13" s="130">
        <v>0</v>
      </c>
      <c r="AH13" s="130">
        <v>7</v>
      </c>
      <c r="AI13" s="130">
        <f t="shared" si="13"/>
        <v>7</v>
      </c>
      <c r="AJ13" s="130">
        <f t="shared" si="14"/>
        <v>112</v>
      </c>
      <c r="AK13" s="130">
        <f t="shared" si="2"/>
        <v>25</v>
      </c>
      <c r="AL13" s="130">
        <f t="shared" si="2"/>
        <v>137</v>
      </c>
    </row>
    <row r="14" spans="1:62" ht="18" customHeight="1">
      <c r="A14" s="128">
        <v>9</v>
      </c>
      <c r="B14" s="129" t="s">
        <v>50</v>
      </c>
      <c r="C14" s="130">
        <v>2921</v>
      </c>
      <c r="D14" s="130">
        <v>1444</v>
      </c>
      <c r="E14" s="130">
        <f t="shared" si="3"/>
        <v>4365</v>
      </c>
      <c r="F14" s="130">
        <v>7076</v>
      </c>
      <c r="G14" s="130">
        <v>3777</v>
      </c>
      <c r="H14" s="130">
        <f t="shared" si="4"/>
        <v>10853</v>
      </c>
      <c r="I14" s="130">
        <v>647</v>
      </c>
      <c r="J14" s="130">
        <v>463</v>
      </c>
      <c r="K14" s="130">
        <f t="shared" si="5"/>
        <v>1110</v>
      </c>
      <c r="L14" s="130">
        <f t="shared" si="6"/>
        <v>10644</v>
      </c>
      <c r="M14" s="130">
        <f t="shared" si="0"/>
        <v>5684</v>
      </c>
      <c r="N14" s="130">
        <f t="shared" si="0"/>
        <v>16328</v>
      </c>
      <c r="O14" s="130">
        <v>744</v>
      </c>
      <c r="P14" s="130">
        <v>276</v>
      </c>
      <c r="Q14" s="130">
        <f t="shared" si="7"/>
        <v>1020</v>
      </c>
      <c r="R14" s="130">
        <v>1635</v>
      </c>
      <c r="S14" s="130">
        <v>620</v>
      </c>
      <c r="T14" s="130">
        <f t="shared" si="8"/>
        <v>2255</v>
      </c>
      <c r="U14" s="130">
        <v>38</v>
      </c>
      <c r="V14" s="130">
        <v>19</v>
      </c>
      <c r="W14" s="130">
        <f t="shared" si="9"/>
        <v>57</v>
      </c>
      <c r="X14" s="130">
        <f t="shared" si="10"/>
        <v>2417</v>
      </c>
      <c r="Y14" s="130">
        <f t="shared" si="1"/>
        <v>915</v>
      </c>
      <c r="Z14" s="130">
        <f t="shared" si="1"/>
        <v>3332</v>
      </c>
      <c r="AA14" s="130">
        <v>87</v>
      </c>
      <c r="AB14" s="130">
        <v>47</v>
      </c>
      <c r="AC14" s="130">
        <f t="shared" si="11"/>
        <v>134</v>
      </c>
      <c r="AD14" s="130">
        <v>315</v>
      </c>
      <c r="AE14" s="130">
        <v>203</v>
      </c>
      <c r="AF14" s="130">
        <f t="shared" si="12"/>
        <v>518</v>
      </c>
      <c r="AG14" s="130">
        <v>22</v>
      </c>
      <c r="AH14" s="130">
        <v>8</v>
      </c>
      <c r="AI14" s="130">
        <f t="shared" si="13"/>
        <v>30</v>
      </c>
      <c r="AJ14" s="130">
        <f t="shared" si="14"/>
        <v>424</v>
      </c>
      <c r="AK14" s="130">
        <f t="shared" si="2"/>
        <v>258</v>
      </c>
      <c r="AL14" s="130">
        <f t="shared" si="2"/>
        <v>682</v>
      </c>
    </row>
    <row r="15" spans="1:62" ht="18" customHeight="1">
      <c r="A15" s="128">
        <v>10</v>
      </c>
      <c r="B15" s="129" t="s">
        <v>51</v>
      </c>
      <c r="C15" s="130">
        <v>578</v>
      </c>
      <c r="D15" s="130">
        <v>146</v>
      </c>
      <c r="E15" s="130">
        <f t="shared" si="3"/>
        <v>724</v>
      </c>
      <c r="F15" s="130">
        <v>720</v>
      </c>
      <c r="G15" s="130">
        <v>388</v>
      </c>
      <c r="H15" s="130">
        <f t="shared" si="4"/>
        <v>1108</v>
      </c>
      <c r="I15" s="130">
        <v>109</v>
      </c>
      <c r="J15" s="130">
        <v>151</v>
      </c>
      <c r="K15" s="130">
        <f t="shared" si="5"/>
        <v>260</v>
      </c>
      <c r="L15" s="130">
        <f t="shared" si="6"/>
        <v>1407</v>
      </c>
      <c r="M15" s="130">
        <f t="shared" si="0"/>
        <v>685</v>
      </c>
      <c r="N15" s="130">
        <f t="shared" si="0"/>
        <v>2092</v>
      </c>
      <c r="O15" s="130">
        <v>50</v>
      </c>
      <c r="P15" s="130">
        <v>10</v>
      </c>
      <c r="Q15" s="130">
        <f t="shared" si="7"/>
        <v>60</v>
      </c>
      <c r="R15" s="130">
        <v>58</v>
      </c>
      <c r="S15" s="130">
        <v>34</v>
      </c>
      <c r="T15" s="130">
        <f t="shared" si="8"/>
        <v>92</v>
      </c>
      <c r="U15" s="130">
        <v>0</v>
      </c>
      <c r="V15" s="130">
        <v>8</v>
      </c>
      <c r="W15" s="130">
        <f t="shared" si="9"/>
        <v>8</v>
      </c>
      <c r="X15" s="130">
        <f t="shared" si="10"/>
        <v>108</v>
      </c>
      <c r="Y15" s="130">
        <f t="shared" si="1"/>
        <v>52</v>
      </c>
      <c r="Z15" s="130">
        <f t="shared" si="1"/>
        <v>160</v>
      </c>
      <c r="AA15" s="130">
        <v>59</v>
      </c>
      <c r="AB15" s="130">
        <v>29</v>
      </c>
      <c r="AC15" s="130">
        <f t="shared" si="11"/>
        <v>88</v>
      </c>
      <c r="AD15" s="130">
        <v>73</v>
      </c>
      <c r="AE15" s="130">
        <v>115</v>
      </c>
      <c r="AF15" s="130">
        <f t="shared" si="12"/>
        <v>188</v>
      </c>
      <c r="AG15" s="130">
        <v>0</v>
      </c>
      <c r="AH15" s="130">
        <v>0</v>
      </c>
      <c r="AI15" s="130">
        <f t="shared" si="13"/>
        <v>0</v>
      </c>
      <c r="AJ15" s="130">
        <f t="shared" si="14"/>
        <v>132</v>
      </c>
      <c r="AK15" s="130">
        <f t="shared" si="2"/>
        <v>144</v>
      </c>
      <c r="AL15" s="130">
        <f t="shared" si="2"/>
        <v>276</v>
      </c>
    </row>
    <row r="16" spans="1:62" ht="18" customHeight="1">
      <c r="A16" s="128">
        <v>11</v>
      </c>
      <c r="B16" s="129" t="s">
        <v>52</v>
      </c>
      <c r="C16" s="130">
        <v>852</v>
      </c>
      <c r="D16" s="130">
        <v>720</v>
      </c>
      <c r="E16" s="130">
        <f t="shared" si="3"/>
        <v>1572</v>
      </c>
      <c r="F16" s="130">
        <v>1037</v>
      </c>
      <c r="G16" s="130">
        <v>309</v>
      </c>
      <c r="H16" s="130">
        <f t="shared" si="4"/>
        <v>1346</v>
      </c>
      <c r="I16" s="130">
        <v>58</v>
      </c>
      <c r="J16" s="130">
        <v>25</v>
      </c>
      <c r="K16" s="130">
        <f t="shared" si="5"/>
        <v>83</v>
      </c>
      <c r="L16" s="130">
        <f t="shared" si="6"/>
        <v>1947</v>
      </c>
      <c r="M16" s="130">
        <f t="shared" si="0"/>
        <v>1054</v>
      </c>
      <c r="N16" s="130">
        <f t="shared" si="0"/>
        <v>3001</v>
      </c>
      <c r="O16" s="130">
        <v>56</v>
      </c>
      <c r="P16" s="130">
        <v>58</v>
      </c>
      <c r="Q16" s="130">
        <f t="shared" si="7"/>
        <v>114</v>
      </c>
      <c r="R16" s="130">
        <v>75</v>
      </c>
      <c r="S16" s="130">
        <v>18</v>
      </c>
      <c r="T16" s="130">
        <f t="shared" si="8"/>
        <v>93</v>
      </c>
      <c r="U16" s="130">
        <v>1</v>
      </c>
      <c r="V16" s="130">
        <v>0</v>
      </c>
      <c r="W16" s="130">
        <f t="shared" si="9"/>
        <v>1</v>
      </c>
      <c r="X16" s="130">
        <f t="shared" si="10"/>
        <v>132</v>
      </c>
      <c r="Y16" s="130">
        <f t="shared" si="1"/>
        <v>76</v>
      </c>
      <c r="Z16" s="130">
        <f t="shared" si="1"/>
        <v>208</v>
      </c>
      <c r="AA16" s="130">
        <v>117</v>
      </c>
      <c r="AB16" s="130">
        <v>150</v>
      </c>
      <c r="AC16" s="130">
        <f t="shared" si="11"/>
        <v>267</v>
      </c>
      <c r="AD16" s="130">
        <v>93</v>
      </c>
      <c r="AE16" s="130">
        <v>25</v>
      </c>
      <c r="AF16" s="130">
        <f t="shared" si="12"/>
        <v>118</v>
      </c>
      <c r="AG16" s="130">
        <v>0</v>
      </c>
      <c r="AH16" s="130">
        <v>2</v>
      </c>
      <c r="AI16" s="130">
        <f t="shared" si="13"/>
        <v>2</v>
      </c>
      <c r="AJ16" s="130">
        <f t="shared" si="14"/>
        <v>210</v>
      </c>
      <c r="AK16" s="130">
        <f t="shared" si="2"/>
        <v>177</v>
      </c>
      <c r="AL16" s="130">
        <f t="shared" si="2"/>
        <v>387</v>
      </c>
    </row>
    <row r="17" spans="1:38" ht="18" customHeight="1">
      <c r="A17" s="128">
        <v>12</v>
      </c>
      <c r="B17" s="129" t="s">
        <v>25</v>
      </c>
      <c r="C17" s="130">
        <v>267</v>
      </c>
      <c r="D17" s="130">
        <v>107</v>
      </c>
      <c r="E17" s="130">
        <f t="shared" si="3"/>
        <v>374</v>
      </c>
      <c r="F17" s="130">
        <v>1030</v>
      </c>
      <c r="G17" s="130">
        <v>503</v>
      </c>
      <c r="H17" s="130">
        <f t="shared" si="4"/>
        <v>1533</v>
      </c>
      <c r="I17" s="130">
        <v>205</v>
      </c>
      <c r="J17" s="130">
        <v>292</v>
      </c>
      <c r="K17" s="130">
        <f t="shared" si="5"/>
        <v>497</v>
      </c>
      <c r="L17" s="130">
        <f t="shared" si="6"/>
        <v>1502</v>
      </c>
      <c r="M17" s="130">
        <f t="shared" si="0"/>
        <v>902</v>
      </c>
      <c r="N17" s="130">
        <f t="shared" si="0"/>
        <v>2404</v>
      </c>
      <c r="O17" s="130">
        <v>10</v>
      </c>
      <c r="P17" s="130">
        <v>2</v>
      </c>
      <c r="Q17" s="130">
        <f t="shared" si="7"/>
        <v>12</v>
      </c>
      <c r="R17" s="130">
        <v>84</v>
      </c>
      <c r="S17" s="130">
        <v>71</v>
      </c>
      <c r="T17" s="130">
        <f t="shared" si="8"/>
        <v>155</v>
      </c>
      <c r="U17" s="130">
        <v>8</v>
      </c>
      <c r="V17" s="130">
        <v>47</v>
      </c>
      <c r="W17" s="130">
        <f t="shared" si="9"/>
        <v>55</v>
      </c>
      <c r="X17" s="130">
        <f t="shared" si="10"/>
        <v>102</v>
      </c>
      <c r="Y17" s="130">
        <f t="shared" si="1"/>
        <v>120</v>
      </c>
      <c r="Z17" s="130">
        <f t="shared" si="1"/>
        <v>222</v>
      </c>
      <c r="AA17" s="130">
        <v>4</v>
      </c>
      <c r="AB17" s="130">
        <v>7</v>
      </c>
      <c r="AC17" s="130">
        <f t="shared" si="11"/>
        <v>11</v>
      </c>
      <c r="AD17" s="130">
        <v>45</v>
      </c>
      <c r="AE17" s="130">
        <v>19</v>
      </c>
      <c r="AF17" s="130">
        <f t="shared" si="12"/>
        <v>64</v>
      </c>
      <c r="AG17" s="130">
        <v>1</v>
      </c>
      <c r="AH17" s="130">
        <v>2</v>
      </c>
      <c r="AI17" s="130">
        <f t="shared" si="13"/>
        <v>3</v>
      </c>
      <c r="AJ17" s="130">
        <f t="shared" si="14"/>
        <v>50</v>
      </c>
      <c r="AK17" s="130">
        <f t="shared" si="2"/>
        <v>28</v>
      </c>
      <c r="AL17" s="130">
        <f t="shared" si="2"/>
        <v>78</v>
      </c>
    </row>
    <row r="18" spans="1:38" ht="18" customHeight="1">
      <c r="A18" s="128">
        <v>13</v>
      </c>
      <c r="B18" s="129" t="s">
        <v>53</v>
      </c>
      <c r="C18" s="130">
        <v>6334</v>
      </c>
      <c r="D18" s="130">
        <v>1323</v>
      </c>
      <c r="E18" s="130">
        <f t="shared" si="3"/>
        <v>7657</v>
      </c>
      <c r="F18" s="130">
        <v>5814</v>
      </c>
      <c r="G18" s="130">
        <v>1749</v>
      </c>
      <c r="H18" s="130">
        <f t="shared" si="4"/>
        <v>7563</v>
      </c>
      <c r="I18" s="130">
        <v>639</v>
      </c>
      <c r="J18" s="130">
        <v>1184</v>
      </c>
      <c r="K18" s="130">
        <f t="shared" si="5"/>
        <v>1823</v>
      </c>
      <c r="L18" s="130">
        <f t="shared" si="6"/>
        <v>12787</v>
      </c>
      <c r="M18" s="130">
        <f t="shared" si="0"/>
        <v>4256</v>
      </c>
      <c r="N18" s="130">
        <f t="shared" si="0"/>
        <v>17043</v>
      </c>
      <c r="O18" s="130">
        <v>53</v>
      </c>
      <c r="P18" s="130">
        <v>16</v>
      </c>
      <c r="Q18" s="130">
        <f t="shared" si="7"/>
        <v>69</v>
      </c>
      <c r="R18" s="130">
        <v>245</v>
      </c>
      <c r="S18" s="130">
        <v>128</v>
      </c>
      <c r="T18" s="130">
        <f t="shared" si="8"/>
        <v>373</v>
      </c>
      <c r="U18" s="130">
        <v>60</v>
      </c>
      <c r="V18" s="130">
        <v>112</v>
      </c>
      <c r="W18" s="130">
        <f t="shared" si="9"/>
        <v>172</v>
      </c>
      <c r="X18" s="130">
        <f t="shared" si="10"/>
        <v>358</v>
      </c>
      <c r="Y18" s="130">
        <f t="shared" si="1"/>
        <v>256</v>
      </c>
      <c r="Z18" s="130">
        <f t="shared" si="1"/>
        <v>614</v>
      </c>
      <c r="AA18" s="130">
        <v>72</v>
      </c>
      <c r="AB18" s="130">
        <v>15</v>
      </c>
      <c r="AC18" s="130">
        <f t="shared" si="11"/>
        <v>87</v>
      </c>
      <c r="AD18" s="130">
        <v>63</v>
      </c>
      <c r="AE18" s="130">
        <v>13</v>
      </c>
      <c r="AF18" s="130">
        <f t="shared" si="12"/>
        <v>76</v>
      </c>
      <c r="AG18" s="130">
        <v>9</v>
      </c>
      <c r="AH18" s="130">
        <v>9</v>
      </c>
      <c r="AI18" s="130">
        <f t="shared" si="13"/>
        <v>18</v>
      </c>
      <c r="AJ18" s="130">
        <f t="shared" si="14"/>
        <v>144</v>
      </c>
      <c r="AK18" s="130">
        <f t="shared" si="2"/>
        <v>37</v>
      </c>
      <c r="AL18" s="130">
        <f t="shared" si="2"/>
        <v>181</v>
      </c>
    </row>
    <row r="19" spans="1:38" ht="18" customHeight="1">
      <c r="A19" s="128">
        <v>14</v>
      </c>
      <c r="B19" s="129" t="s">
        <v>27</v>
      </c>
      <c r="C19" s="130">
        <v>5457</v>
      </c>
      <c r="D19" s="130">
        <v>3065</v>
      </c>
      <c r="E19" s="130">
        <f t="shared" si="3"/>
        <v>8522</v>
      </c>
      <c r="F19" s="130">
        <v>2657</v>
      </c>
      <c r="G19" s="130">
        <v>1434</v>
      </c>
      <c r="H19" s="130">
        <f t="shared" si="4"/>
        <v>4091</v>
      </c>
      <c r="I19" s="130">
        <v>751</v>
      </c>
      <c r="J19" s="130">
        <v>429</v>
      </c>
      <c r="K19" s="130">
        <f t="shared" si="5"/>
        <v>1180</v>
      </c>
      <c r="L19" s="130">
        <f t="shared" si="6"/>
        <v>8865</v>
      </c>
      <c r="M19" s="130">
        <f t="shared" si="0"/>
        <v>4928</v>
      </c>
      <c r="N19" s="130">
        <f t="shared" si="0"/>
        <v>13793</v>
      </c>
      <c r="O19" s="130">
        <v>883</v>
      </c>
      <c r="P19" s="130">
        <v>390</v>
      </c>
      <c r="Q19" s="130">
        <f t="shared" si="7"/>
        <v>1273</v>
      </c>
      <c r="R19" s="130">
        <v>292</v>
      </c>
      <c r="S19" s="130">
        <v>132</v>
      </c>
      <c r="T19" s="130">
        <f t="shared" si="8"/>
        <v>424</v>
      </c>
      <c r="U19" s="130">
        <v>0</v>
      </c>
      <c r="V19" s="130">
        <v>0</v>
      </c>
      <c r="W19" s="130">
        <f t="shared" si="9"/>
        <v>0</v>
      </c>
      <c r="X19" s="130">
        <f t="shared" si="10"/>
        <v>1175</v>
      </c>
      <c r="Y19" s="130">
        <f t="shared" si="1"/>
        <v>522</v>
      </c>
      <c r="Z19" s="130">
        <f t="shared" si="1"/>
        <v>1697</v>
      </c>
      <c r="AA19" s="130">
        <v>669</v>
      </c>
      <c r="AB19" s="130">
        <v>356</v>
      </c>
      <c r="AC19" s="130">
        <f t="shared" si="11"/>
        <v>1025</v>
      </c>
      <c r="AD19" s="130">
        <v>237</v>
      </c>
      <c r="AE19" s="130">
        <v>143</v>
      </c>
      <c r="AF19" s="130">
        <f t="shared" si="12"/>
        <v>380</v>
      </c>
      <c r="AG19" s="130">
        <v>0</v>
      </c>
      <c r="AH19" s="130">
        <v>1</v>
      </c>
      <c r="AI19" s="130">
        <f t="shared" si="13"/>
        <v>1</v>
      </c>
      <c r="AJ19" s="130">
        <f t="shared" si="14"/>
        <v>906</v>
      </c>
      <c r="AK19" s="130">
        <f t="shared" si="2"/>
        <v>500</v>
      </c>
      <c r="AL19" s="130">
        <f t="shared" si="2"/>
        <v>1406</v>
      </c>
    </row>
    <row r="20" spans="1:38" ht="18" customHeight="1">
      <c r="A20" s="128">
        <v>15</v>
      </c>
      <c r="B20" s="129" t="s">
        <v>28</v>
      </c>
      <c r="C20" s="130">
        <v>5580</v>
      </c>
      <c r="D20" s="130">
        <v>2573</v>
      </c>
      <c r="E20" s="130">
        <f t="shared" si="3"/>
        <v>8153</v>
      </c>
      <c r="F20" s="130">
        <v>2841</v>
      </c>
      <c r="G20" s="130">
        <v>1353</v>
      </c>
      <c r="H20" s="130">
        <f t="shared" si="4"/>
        <v>4194</v>
      </c>
      <c r="I20" s="130">
        <v>385</v>
      </c>
      <c r="J20" s="130">
        <v>290</v>
      </c>
      <c r="K20" s="130">
        <f t="shared" si="5"/>
        <v>675</v>
      </c>
      <c r="L20" s="130">
        <f t="shared" si="6"/>
        <v>8806</v>
      </c>
      <c r="M20" s="130">
        <f t="shared" si="0"/>
        <v>4216</v>
      </c>
      <c r="N20" s="130">
        <f t="shared" si="0"/>
        <v>13022</v>
      </c>
      <c r="O20" s="130">
        <v>370</v>
      </c>
      <c r="P20" s="130">
        <v>126</v>
      </c>
      <c r="Q20" s="130">
        <f t="shared" si="7"/>
        <v>496</v>
      </c>
      <c r="R20" s="130">
        <v>138</v>
      </c>
      <c r="S20" s="130">
        <v>59</v>
      </c>
      <c r="T20" s="130">
        <f t="shared" si="8"/>
        <v>197</v>
      </c>
      <c r="U20" s="130">
        <v>31</v>
      </c>
      <c r="V20" s="130">
        <v>30</v>
      </c>
      <c r="W20" s="130">
        <f t="shared" si="9"/>
        <v>61</v>
      </c>
      <c r="X20" s="130">
        <f t="shared" si="10"/>
        <v>539</v>
      </c>
      <c r="Y20" s="130">
        <f t="shared" si="1"/>
        <v>215</v>
      </c>
      <c r="Z20" s="130">
        <f t="shared" si="1"/>
        <v>754</v>
      </c>
      <c r="AA20" s="130">
        <v>45</v>
      </c>
      <c r="AB20" s="130">
        <v>20</v>
      </c>
      <c r="AC20" s="130">
        <f t="shared" si="11"/>
        <v>65</v>
      </c>
      <c r="AD20" s="130">
        <v>25</v>
      </c>
      <c r="AE20" s="130">
        <v>15</v>
      </c>
      <c r="AF20" s="130">
        <f t="shared" si="12"/>
        <v>40</v>
      </c>
      <c r="AG20" s="130">
        <v>33</v>
      </c>
      <c r="AH20" s="130">
        <v>18</v>
      </c>
      <c r="AI20" s="130">
        <f t="shared" si="13"/>
        <v>51</v>
      </c>
      <c r="AJ20" s="130">
        <f t="shared" si="14"/>
        <v>103</v>
      </c>
      <c r="AK20" s="130">
        <f t="shared" si="2"/>
        <v>53</v>
      </c>
      <c r="AL20" s="130">
        <f t="shared" si="2"/>
        <v>156</v>
      </c>
    </row>
    <row r="21" spans="1:38" ht="18" customHeight="1">
      <c r="A21" s="128">
        <v>16</v>
      </c>
      <c r="B21" s="129" t="s">
        <v>29</v>
      </c>
      <c r="C21" s="130">
        <v>1198</v>
      </c>
      <c r="D21" s="130">
        <v>834</v>
      </c>
      <c r="E21" s="130">
        <f t="shared" si="3"/>
        <v>2032</v>
      </c>
      <c r="F21" s="130">
        <v>888</v>
      </c>
      <c r="G21" s="130">
        <v>578</v>
      </c>
      <c r="H21" s="130">
        <f t="shared" si="4"/>
        <v>1466</v>
      </c>
      <c r="I21" s="130">
        <v>0</v>
      </c>
      <c r="J21" s="130">
        <v>0</v>
      </c>
      <c r="K21" s="130">
        <f t="shared" si="5"/>
        <v>0</v>
      </c>
      <c r="L21" s="130">
        <f t="shared" si="6"/>
        <v>2086</v>
      </c>
      <c r="M21" s="130">
        <f t="shared" si="0"/>
        <v>1412</v>
      </c>
      <c r="N21" s="130">
        <f t="shared" si="0"/>
        <v>3498</v>
      </c>
      <c r="O21" s="130">
        <v>194</v>
      </c>
      <c r="P21" s="130">
        <v>90</v>
      </c>
      <c r="Q21" s="130">
        <f t="shared" si="7"/>
        <v>284</v>
      </c>
      <c r="R21" s="130">
        <v>147</v>
      </c>
      <c r="S21" s="130">
        <v>83</v>
      </c>
      <c r="T21" s="130">
        <f t="shared" si="8"/>
        <v>230</v>
      </c>
      <c r="U21" s="130">
        <v>0</v>
      </c>
      <c r="V21" s="130">
        <v>0</v>
      </c>
      <c r="W21" s="130">
        <f t="shared" si="9"/>
        <v>0</v>
      </c>
      <c r="X21" s="130">
        <f t="shared" si="10"/>
        <v>341</v>
      </c>
      <c r="Y21" s="130">
        <f t="shared" si="1"/>
        <v>173</v>
      </c>
      <c r="Z21" s="130">
        <f t="shared" si="1"/>
        <v>514</v>
      </c>
      <c r="AA21" s="130">
        <v>717</v>
      </c>
      <c r="AB21" s="130">
        <v>577</v>
      </c>
      <c r="AC21" s="130">
        <f t="shared" si="11"/>
        <v>1294</v>
      </c>
      <c r="AD21" s="130">
        <v>582</v>
      </c>
      <c r="AE21" s="130">
        <v>424</v>
      </c>
      <c r="AF21" s="130">
        <f t="shared" si="12"/>
        <v>1006</v>
      </c>
      <c r="AG21" s="130">
        <v>0</v>
      </c>
      <c r="AH21" s="130">
        <v>0</v>
      </c>
      <c r="AI21" s="130">
        <f t="shared" si="13"/>
        <v>0</v>
      </c>
      <c r="AJ21" s="130">
        <f t="shared" si="14"/>
        <v>1299</v>
      </c>
      <c r="AK21" s="130">
        <f t="shared" si="2"/>
        <v>1001</v>
      </c>
      <c r="AL21" s="130">
        <f t="shared" si="2"/>
        <v>2300</v>
      </c>
    </row>
    <row r="22" spans="1:38" ht="18" customHeight="1">
      <c r="A22" s="128">
        <v>17</v>
      </c>
      <c r="B22" s="129" t="s">
        <v>30</v>
      </c>
      <c r="C22" s="130">
        <v>743</v>
      </c>
      <c r="D22" s="130">
        <v>974</v>
      </c>
      <c r="E22" s="130">
        <f t="shared" si="3"/>
        <v>1717</v>
      </c>
      <c r="F22" s="130">
        <v>28</v>
      </c>
      <c r="G22" s="130">
        <v>34</v>
      </c>
      <c r="H22" s="130">
        <f t="shared" si="4"/>
        <v>62</v>
      </c>
      <c r="I22" s="130">
        <v>0</v>
      </c>
      <c r="J22" s="130">
        <v>0</v>
      </c>
      <c r="K22" s="130">
        <f t="shared" si="5"/>
        <v>0</v>
      </c>
      <c r="L22" s="130">
        <f t="shared" si="6"/>
        <v>771</v>
      </c>
      <c r="M22" s="130">
        <f t="shared" si="6"/>
        <v>1008</v>
      </c>
      <c r="N22" s="130">
        <f t="shared" si="6"/>
        <v>1779</v>
      </c>
      <c r="O22" s="130">
        <v>11</v>
      </c>
      <c r="P22" s="130">
        <v>10</v>
      </c>
      <c r="Q22" s="130">
        <f t="shared" si="7"/>
        <v>21</v>
      </c>
      <c r="R22" s="130">
        <v>2</v>
      </c>
      <c r="S22" s="130">
        <v>0</v>
      </c>
      <c r="T22" s="130">
        <f t="shared" si="8"/>
        <v>2</v>
      </c>
      <c r="U22" s="130">
        <v>0</v>
      </c>
      <c r="V22" s="130">
        <v>0</v>
      </c>
      <c r="W22" s="130">
        <f t="shared" si="9"/>
        <v>0</v>
      </c>
      <c r="X22" s="130">
        <f t="shared" si="10"/>
        <v>13</v>
      </c>
      <c r="Y22" s="130">
        <f t="shared" si="1"/>
        <v>10</v>
      </c>
      <c r="Z22" s="130">
        <f t="shared" si="1"/>
        <v>23</v>
      </c>
      <c r="AA22" s="130">
        <v>496</v>
      </c>
      <c r="AB22" s="130">
        <v>760</v>
      </c>
      <c r="AC22" s="130">
        <f t="shared" si="11"/>
        <v>1256</v>
      </c>
      <c r="AD22" s="130">
        <v>8</v>
      </c>
      <c r="AE22" s="130">
        <v>24</v>
      </c>
      <c r="AF22" s="130">
        <f t="shared" si="12"/>
        <v>32</v>
      </c>
      <c r="AG22" s="130">
        <v>0</v>
      </c>
      <c r="AH22" s="130">
        <v>0</v>
      </c>
      <c r="AI22" s="130">
        <f t="shared" si="13"/>
        <v>0</v>
      </c>
      <c r="AJ22" s="130">
        <f t="shared" si="14"/>
        <v>504</v>
      </c>
      <c r="AK22" s="130">
        <f t="shared" si="2"/>
        <v>784</v>
      </c>
      <c r="AL22" s="130">
        <f t="shared" si="2"/>
        <v>1288</v>
      </c>
    </row>
    <row r="23" spans="1:38" ht="18" customHeight="1">
      <c r="A23" s="128">
        <v>18</v>
      </c>
      <c r="B23" s="129" t="s">
        <v>31</v>
      </c>
      <c r="C23" s="130">
        <v>1401</v>
      </c>
      <c r="D23" s="130">
        <v>1421</v>
      </c>
      <c r="E23" s="130">
        <f t="shared" si="3"/>
        <v>2822</v>
      </c>
      <c r="F23" s="130">
        <v>1251</v>
      </c>
      <c r="G23" s="130">
        <v>1552</v>
      </c>
      <c r="H23" s="130">
        <f t="shared" si="4"/>
        <v>2803</v>
      </c>
      <c r="I23" s="130">
        <v>0</v>
      </c>
      <c r="J23" s="130">
        <v>0</v>
      </c>
      <c r="K23" s="130">
        <f t="shared" si="5"/>
        <v>0</v>
      </c>
      <c r="L23" s="130">
        <f t="shared" si="6"/>
        <v>2652</v>
      </c>
      <c r="M23" s="130">
        <f t="shared" si="6"/>
        <v>2973</v>
      </c>
      <c r="N23" s="130">
        <f t="shared" si="6"/>
        <v>5625</v>
      </c>
      <c r="O23" s="130">
        <v>5</v>
      </c>
      <c r="P23" s="130">
        <v>2</v>
      </c>
      <c r="Q23" s="130">
        <f t="shared" si="7"/>
        <v>7</v>
      </c>
      <c r="R23" s="130">
        <v>4</v>
      </c>
      <c r="S23" s="130">
        <v>1</v>
      </c>
      <c r="T23" s="130">
        <f t="shared" si="8"/>
        <v>5</v>
      </c>
      <c r="U23" s="130">
        <v>0</v>
      </c>
      <c r="V23" s="130">
        <v>0</v>
      </c>
      <c r="W23" s="130">
        <f t="shared" si="9"/>
        <v>0</v>
      </c>
      <c r="X23" s="130">
        <f t="shared" si="10"/>
        <v>9</v>
      </c>
      <c r="Y23" s="130">
        <f t="shared" si="1"/>
        <v>3</v>
      </c>
      <c r="Z23" s="130">
        <f t="shared" si="1"/>
        <v>12</v>
      </c>
      <c r="AA23" s="130">
        <v>1382</v>
      </c>
      <c r="AB23" s="130">
        <v>1405</v>
      </c>
      <c r="AC23" s="130">
        <f t="shared" si="11"/>
        <v>2787</v>
      </c>
      <c r="AD23" s="130">
        <v>1242</v>
      </c>
      <c r="AE23" s="130">
        <v>1531</v>
      </c>
      <c r="AF23" s="130">
        <f t="shared" si="12"/>
        <v>2773</v>
      </c>
      <c r="AG23" s="130">
        <v>0</v>
      </c>
      <c r="AH23" s="130">
        <v>0</v>
      </c>
      <c r="AI23" s="130">
        <f t="shared" si="13"/>
        <v>0</v>
      </c>
      <c r="AJ23" s="130">
        <f t="shared" si="14"/>
        <v>2624</v>
      </c>
      <c r="AK23" s="130">
        <f t="shared" si="2"/>
        <v>2936</v>
      </c>
      <c r="AL23" s="130">
        <f t="shared" si="2"/>
        <v>5560</v>
      </c>
    </row>
    <row r="24" spans="1:38" ht="18" customHeight="1">
      <c r="A24" s="128">
        <v>19</v>
      </c>
      <c r="B24" s="129" t="s">
        <v>54</v>
      </c>
      <c r="C24" s="130">
        <v>1508</v>
      </c>
      <c r="D24" s="130">
        <v>1061</v>
      </c>
      <c r="E24" s="130">
        <f t="shared" si="3"/>
        <v>2569</v>
      </c>
      <c r="F24" s="130">
        <v>838</v>
      </c>
      <c r="G24" s="130">
        <v>582</v>
      </c>
      <c r="H24" s="130">
        <f t="shared" si="4"/>
        <v>1420</v>
      </c>
      <c r="I24" s="130">
        <v>0</v>
      </c>
      <c r="J24" s="130">
        <v>0</v>
      </c>
      <c r="K24" s="130">
        <f t="shared" si="5"/>
        <v>0</v>
      </c>
      <c r="L24" s="130">
        <f t="shared" si="6"/>
        <v>2346</v>
      </c>
      <c r="M24" s="130">
        <f t="shared" si="6"/>
        <v>1643</v>
      </c>
      <c r="N24" s="130">
        <f t="shared" si="6"/>
        <v>3989</v>
      </c>
      <c r="O24" s="130">
        <v>363</v>
      </c>
      <c r="P24" s="130">
        <v>197</v>
      </c>
      <c r="Q24" s="130">
        <f t="shared" si="7"/>
        <v>560</v>
      </c>
      <c r="R24" s="130">
        <v>170</v>
      </c>
      <c r="S24" s="130">
        <v>78</v>
      </c>
      <c r="T24" s="130">
        <f t="shared" si="8"/>
        <v>248</v>
      </c>
      <c r="U24" s="130">
        <v>0</v>
      </c>
      <c r="V24" s="130">
        <v>0</v>
      </c>
      <c r="W24" s="130">
        <f t="shared" si="9"/>
        <v>0</v>
      </c>
      <c r="X24" s="130">
        <f t="shared" si="10"/>
        <v>533</v>
      </c>
      <c r="Y24" s="130">
        <f t="shared" si="1"/>
        <v>275</v>
      </c>
      <c r="Z24" s="130">
        <f t="shared" si="1"/>
        <v>808</v>
      </c>
      <c r="AA24" s="130">
        <v>968</v>
      </c>
      <c r="AB24" s="130">
        <v>761</v>
      </c>
      <c r="AC24" s="130">
        <f t="shared" si="11"/>
        <v>1729</v>
      </c>
      <c r="AD24" s="130">
        <v>568</v>
      </c>
      <c r="AE24" s="130">
        <v>463</v>
      </c>
      <c r="AF24" s="130">
        <f t="shared" si="12"/>
        <v>1031</v>
      </c>
      <c r="AG24" s="130">
        <v>0</v>
      </c>
      <c r="AH24" s="130">
        <v>0</v>
      </c>
      <c r="AI24" s="130">
        <f t="shared" si="13"/>
        <v>0</v>
      </c>
      <c r="AJ24" s="130">
        <f t="shared" si="14"/>
        <v>1536</v>
      </c>
      <c r="AK24" s="130">
        <f t="shared" si="2"/>
        <v>1224</v>
      </c>
      <c r="AL24" s="130">
        <f t="shared" si="2"/>
        <v>2760</v>
      </c>
    </row>
    <row r="25" spans="1:38" ht="18" customHeight="1">
      <c r="A25" s="128">
        <v>20</v>
      </c>
      <c r="B25" s="129" t="s">
        <v>55</v>
      </c>
      <c r="C25" s="130">
        <v>5413</v>
      </c>
      <c r="D25" s="130">
        <v>2273</v>
      </c>
      <c r="E25" s="130">
        <f t="shared" si="3"/>
        <v>7686</v>
      </c>
      <c r="F25" s="130">
        <v>2270</v>
      </c>
      <c r="G25" s="130">
        <v>1253</v>
      </c>
      <c r="H25" s="130">
        <f t="shared" si="4"/>
        <v>3523</v>
      </c>
      <c r="I25" s="130">
        <v>268</v>
      </c>
      <c r="J25" s="130">
        <v>184</v>
      </c>
      <c r="K25" s="130">
        <f t="shared" si="5"/>
        <v>452</v>
      </c>
      <c r="L25" s="130">
        <f t="shared" si="6"/>
        <v>7951</v>
      </c>
      <c r="M25" s="130">
        <f t="shared" si="6"/>
        <v>3710</v>
      </c>
      <c r="N25" s="130">
        <f t="shared" si="6"/>
        <v>11661</v>
      </c>
      <c r="O25" s="130">
        <v>637</v>
      </c>
      <c r="P25" s="130">
        <v>299</v>
      </c>
      <c r="Q25" s="130">
        <f t="shared" si="7"/>
        <v>936</v>
      </c>
      <c r="R25" s="130">
        <v>318</v>
      </c>
      <c r="S25" s="130">
        <v>146</v>
      </c>
      <c r="T25" s="130">
        <f t="shared" si="8"/>
        <v>464</v>
      </c>
      <c r="U25" s="130">
        <v>9</v>
      </c>
      <c r="V25" s="130">
        <v>6</v>
      </c>
      <c r="W25" s="130">
        <f t="shared" si="9"/>
        <v>15</v>
      </c>
      <c r="X25" s="130">
        <f t="shared" si="10"/>
        <v>964</v>
      </c>
      <c r="Y25" s="130">
        <f t="shared" si="1"/>
        <v>451</v>
      </c>
      <c r="Z25" s="130">
        <f t="shared" si="1"/>
        <v>1415</v>
      </c>
      <c r="AA25" s="130">
        <v>422</v>
      </c>
      <c r="AB25" s="130">
        <v>213</v>
      </c>
      <c r="AC25" s="130">
        <f t="shared" si="11"/>
        <v>635</v>
      </c>
      <c r="AD25" s="130">
        <v>218</v>
      </c>
      <c r="AE25" s="130">
        <v>165</v>
      </c>
      <c r="AF25" s="130">
        <f t="shared" si="12"/>
        <v>383</v>
      </c>
      <c r="AG25" s="130">
        <v>77</v>
      </c>
      <c r="AH25" s="130">
        <v>65</v>
      </c>
      <c r="AI25" s="130">
        <f t="shared" si="13"/>
        <v>142</v>
      </c>
      <c r="AJ25" s="130">
        <f t="shared" si="14"/>
        <v>717</v>
      </c>
      <c r="AK25" s="130">
        <f t="shared" si="2"/>
        <v>443</v>
      </c>
      <c r="AL25" s="130">
        <f t="shared" si="2"/>
        <v>1160</v>
      </c>
    </row>
    <row r="26" spans="1:38" ht="18" customHeight="1">
      <c r="A26" s="128">
        <v>21</v>
      </c>
      <c r="B26" s="129" t="s">
        <v>56</v>
      </c>
      <c r="C26" s="130">
        <v>2402</v>
      </c>
      <c r="D26" s="130">
        <v>1062</v>
      </c>
      <c r="E26" s="130">
        <f t="shared" si="3"/>
        <v>3464</v>
      </c>
      <c r="F26" s="130">
        <v>513</v>
      </c>
      <c r="G26" s="130">
        <v>218</v>
      </c>
      <c r="H26" s="130">
        <f t="shared" si="4"/>
        <v>731</v>
      </c>
      <c r="I26" s="130">
        <v>561</v>
      </c>
      <c r="J26" s="130">
        <v>354</v>
      </c>
      <c r="K26" s="130">
        <f t="shared" si="5"/>
        <v>915</v>
      </c>
      <c r="L26" s="130">
        <f t="shared" si="6"/>
        <v>3476</v>
      </c>
      <c r="M26" s="130">
        <f t="shared" si="6"/>
        <v>1634</v>
      </c>
      <c r="N26" s="130">
        <f t="shared" si="6"/>
        <v>5110</v>
      </c>
      <c r="O26" s="130">
        <v>287</v>
      </c>
      <c r="P26" s="130">
        <v>120</v>
      </c>
      <c r="Q26" s="130">
        <f t="shared" si="7"/>
        <v>407</v>
      </c>
      <c r="R26" s="130">
        <v>43</v>
      </c>
      <c r="S26" s="130">
        <v>13</v>
      </c>
      <c r="T26" s="130">
        <f t="shared" si="8"/>
        <v>56</v>
      </c>
      <c r="U26" s="130">
        <v>79</v>
      </c>
      <c r="V26" s="130">
        <v>49</v>
      </c>
      <c r="W26" s="130">
        <f t="shared" si="9"/>
        <v>128</v>
      </c>
      <c r="X26" s="130">
        <f t="shared" si="10"/>
        <v>409</v>
      </c>
      <c r="Y26" s="130">
        <f t="shared" si="1"/>
        <v>182</v>
      </c>
      <c r="Z26" s="130">
        <f t="shared" si="1"/>
        <v>591</v>
      </c>
      <c r="AA26" s="130">
        <v>14</v>
      </c>
      <c r="AB26" s="130">
        <v>9</v>
      </c>
      <c r="AC26" s="130">
        <f t="shared" si="11"/>
        <v>23</v>
      </c>
      <c r="AD26" s="130">
        <v>4</v>
      </c>
      <c r="AE26" s="130">
        <v>3</v>
      </c>
      <c r="AF26" s="130">
        <f t="shared" si="12"/>
        <v>7</v>
      </c>
      <c r="AG26" s="130">
        <v>8</v>
      </c>
      <c r="AH26" s="130">
        <v>17</v>
      </c>
      <c r="AI26" s="130">
        <f t="shared" si="13"/>
        <v>25</v>
      </c>
      <c r="AJ26" s="130">
        <f t="shared" si="14"/>
        <v>26</v>
      </c>
      <c r="AK26" s="130">
        <f t="shared" si="2"/>
        <v>29</v>
      </c>
      <c r="AL26" s="130">
        <f t="shared" si="2"/>
        <v>55</v>
      </c>
    </row>
    <row r="27" spans="1:38" ht="18" customHeight="1">
      <c r="A27" s="128">
        <v>22</v>
      </c>
      <c r="B27" s="129" t="s">
        <v>32</v>
      </c>
      <c r="C27" s="130">
        <v>2424</v>
      </c>
      <c r="D27" s="130">
        <v>1597</v>
      </c>
      <c r="E27" s="130">
        <f t="shared" si="3"/>
        <v>4021</v>
      </c>
      <c r="F27" s="130">
        <v>2289</v>
      </c>
      <c r="G27" s="130">
        <v>1115</v>
      </c>
      <c r="H27" s="130">
        <f t="shared" si="4"/>
        <v>3404</v>
      </c>
      <c r="I27" s="130">
        <v>210</v>
      </c>
      <c r="J27" s="130">
        <v>3336</v>
      </c>
      <c r="K27" s="130">
        <f t="shared" si="5"/>
        <v>3546</v>
      </c>
      <c r="L27" s="130">
        <f t="shared" si="6"/>
        <v>4923</v>
      </c>
      <c r="M27" s="130">
        <f t="shared" si="6"/>
        <v>6048</v>
      </c>
      <c r="N27" s="130">
        <f t="shared" si="6"/>
        <v>10971</v>
      </c>
      <c r="O27" s="130">
        <v>294</v>
      </c>
      <c r="P27" s="130">
        <v>145</v>
      </c>
      <c r="Q27" s="130">
        <f t="shared" si="7"/>
        <v>439</v>
      </c>
      <c r="R27" s="130">
        <v>168</v>
      </c>
      <c r="S27" s="130">
        <v>75</v>
      </c>
      <c r="T27" s="130">
        <f t="shared" si="8"/>
        <v>243</v>
      </c>
      <c r="U27" s="130">
        <v>9</v>
      </c>
      <c r="V27" s="130">
        <v>39</v>
      </c>
      <c r="W27" s="130">
        <f t="shared" si="9"/>
        <v>48</v>
      </c>
      <c r="X27" s="130">
        <f t="shared" si="10"/>
        <v>471</v>
      </c>
      <c r="Y27" s="130">
        <f t="shared" si="1"/>
        <v>259</v>
      </c>
      <c r="Z27" s="130">
        <f t="shared" si="1"/>
        <v>730</v>
      </c>
      <c r="AA27" s="130">
        <v>118</v>
      </c>
      <c r="AB27" s="130">
        <v>53</v>
      </c>
      <c r="AC27" s="130">
        <f t="shared" si="11"/>
        <v>171</v>
      </c>
      <c r="AD27" s="130">
        <v>78</v>
      </c>
      <c r="AE27" s="130">
        <v>51</v>
      </c>
      <c r="AF27" s="130">
        <f t="shared" si="12"/>
        <v>129</v>
      </c>
      <c r="AG27" s="130">
        <v>4</v>
      </c>
      <c r="AH27" s="130">
        <v>17</v>
      </c>
      <c r="AI27" s="130">
        <f t="shared" si="13"/>
        <v>21</v>
      </c>
      <c r="AJ27" s="130">
        <f t="shared" si="14"/>
        <v>200</v>
      </c>
      <c r="AK27" s="130">
        <f t="shared" si="2"/>
        <v>121</v>
      </c>
      <c r="AL27" s="130">
        <f t="shared" si="2"/>
        <v>321</v>
      </c>
    </row>
    <row r="28" spans="1:38" ht="18" customHeight="1">
      <c r="A28" s="128">
        <v>23</v>
      </c>
      <c r="B28" s="129" t="s">
        <v>33</v>
      </c>
      <c r="C28" s="130">
        <v>680</v>
      </c>
      <c r="D28" s="130">
        <v>945</v>
      </c>
      <c r="E28" s="130">
        <f t="shared" si="3"/>
        <v>1625</v>
      </c>
      <c r="F28" s="130">
        <v>447</v>
      </c>
      <c r="G28" s="130">
        <v>730</v>
      </c>
      <c r="H28" s="130">
        <f t="shared" si="4"/>
        <v>1177</v>
      </c>
      <c r="I28" s="130">
        <v>0</v>
      </c>
      <c r="J28" s="130">
        <v>0</v>
      </c>
      <c r="K28" s="130">
        <f t="shared" si="5"/>
        <v>0</v>
      </c>
      <c r="L28" s="130">
        <f t="shared" si="6"/>
        <v>1127</v>
      </c>
      <c r="M28" s="130">
        <f t="shared" si="6"/>
        <v>1675</v>
      </c>
      <c r="N28" s="130">
        <f t="shared" si="6"/>
        <v>2802</v>
      </c>
      <c r="O28" s="130">
        <v>19</v>
      </c>
      <c r="P28" s="130">
        <v>36</v>
      </c>
      <c r="Q28" s="130">
        <f t="shared" si="7"/>
        <v>55</v>
      </c>
      <c r="R28" s="130">
        <v>10</v>
      </c>
      <c r="S28" s="130">
        <v>13</v>
      </c>
      <c r="T28" s="130">
        <f t="shared" si="8"/>
        <v>23</v>
      </c>
      <c r="U28" s="130">
        <v>0</v>
      </c>
      <c r="V28" s="130">
        <v>0</v>
      </c>
      <c r="W28" s="130">
        <f t="shared" si="9"/>
        <v>0</v>
      </c>
      <c r="X28" s="130">
        <f t="shared" si="10"/>
        <v>29</v>
      </c>
      <c r="Y28" s="130">
        <f t="shared" si="1"/>
        <v>49</v>
      </c>
      <c r="Z28" s="130">
        <f t="shared" si="1"/>
        <v>78</v>
      </c>
      <c r="AA28" s="130">
        <v>185</v>
      </c>
      <c r="AB28" s="130">
        <v>180</v>
      </c>
      <c r="AC28" s="130">
        <f t="shared" si="11"/>
        <v>365</v>
      </c>
      <c r="AD28" s="130">
        <v>110</v>
      </c>
      <c r="AE28" s="130">
        <v>171</v>
      </c>
      <c r="AF28" s="130">
        <f t="shared" si="12"/>
        <v>281</v>
      </c>
      <c r="AG28" s="130">
        <v>0</v>
      </c>
      <c r="AH28" s="130">
        <v>0</v>
      </c>
      <c r="AI28" s="130">
        <f t="shared" si="13"/>
        <v>0</v>
      </c>
      <c r="AJ28" s="130">
        <f t="shared" si="14"/>
        <v>295</v>
      </c>
      <c r="AK28" s="130">
        <f t="shared" si="2"/>
        <v>351</v>
      </c>
      <c r="AL28" s="130">
        <f t="shared" si="2"/>
        <v>646</v>
      </c>
    </row>
    <row r="29" spans="1:38" ht="18" customHeight="1">
      <c r="A29" s="128">
        <v>24</v>
      </c>
      <c r="B29" s="129" t="s">
        <v>34</v>
      </c>
      <c r="C29" s="130">
        <v>331</v>
      </c>
      <c r="D29" s="130">
        <v>107</v>
      </c>
      <c r="E29" s="130">
        <f t="shared" si="3"/>
        <v>438</v>
      </c>
      <c r="F29" s="130">
        <v>282</v>
      </c>
      <c r="G29" s="130">
        <v>162</v>
      </c>
      <c r="H29" s="130">
        <f t="shared" si="4"/>
        <v>444</v>
      </c>
      <c r="I29" s="130">
        <v>347</v>
      </c>
      <c r="J29" s="130">
        <v>262</v>
      </c>
      <c r="K29" s="130">
        <f t="shared" si="5"/>
        <v>609</v>
      </c>
      <c r="L29" s="130">
        <f t="shared" si="6"/>
        <v>960</v>
      </c>
      <c r="M29" s="130">
        <f t="shared" si="6"/>
        <v>531</v>
      </c>
      <c r="N29" s="130">
        <f t="shared" si="6"/>
        <v>1491</v>
      </c>
      <c r="O29" s="130">
        <v>48</v>
      </c>
      <c r="P29" s="130">
        <v>17</v>
      </c>
      <c r="Q29" s="130">
        <f t="shared" si="7"/>
        <v>65</v>
      </c>
      <c r="R29" s="130">
        <v>32</v>
      </c>
      <c r="S29" s="130">
        <v>15</v>
      </c>
      <c r="T29" s="130">
        <f t="shared" si="8"/>
        <v>47</v>
      </c>
      <c r="U29" s="130">
        <v>80</v>
      </c>
      <c r="V29" s="130">
        <v>42</v>
      </c>
      <c r="W29" s="130">
        <f t="shared" si="9"/>
        <v>122</v>
      </c>
      <c r="X29" s="130">
        <f t="shared" si="10"/>
        <v>160</v>
      </c>
      <c r="Y29" s="130">
        <f t="shared" si="1"/>
        <v>74</v>
      </c>
      <c r="Z29" s="130">
        <f t="shared" si="1"/>
        <v>234</v>
      </c>
      <c r="AA29" s="130">
        <v>0</v>
      </c>
      <c r="AB29" s="130">
        <v>1</v>
      </c>
      <c r="AC29" s="130">
        <f t="shared" si="11"/>
        <v>1</v>
      </c>
      <c r="AD29" s="130">
        <v>3</v>
      </c>
      <c r="AE29" s="130">
        <v>5</v>
      </c>
      <c r="AF29" s="130">
        <f t="shared" si="12"/>
        <v>8</v>
      </c>
      <c r="AG29" s="130">
        <v>1</v>
      </c>
      <c r="AH29" s="130">
        <v>1</v>
      </c>
      <c r="AI29" s="130">
        <f t="shared" si="13"/>
        <v>2</v>
      </c>
      <c r="AJ29" s="130">
        <f t="shared" si="14"/>
        <v>4</v>
      </c>
      <c r="AK29" s="130">
        <f t="shared" si="2"/>
        <v>7</v>
      </c>
      <c r="AL29" s="130">
        <f t="shared" si="2"/>
        <v>11</v>
      </c>
    </row>
    <row r="30" spans="1:38" ht="18" customHeight="1">
      <c r="A30" s="128">
        <v>25</v>
      </c>
      <c r="B30" s="129" t="s">
        <v>35</v>
      </c>
      <c r="C30" s="130">
        <v>721</v>
      </c>
      <c r="D30" s="130">
        <v>308</v>
      </c>
      <c r="E30" s="130">
        <f t="shared" si="3"/>
        <v>1029</v>
      </c>
      <c r="F30" s="130">
        <v>347</v>
      </c>
      <c r="G30" s="130">
        <v>129</v>
      </c>
      <c r="H30" s="130">
        <f t="shared" si="4"/>
        <v>476</v>
      </c>
      <c r="I30" s="130">
        <v>9</v>
      </c>
      <c r="J30" s="130">
        <v>8</v>
      </c>
      <c r="K30" s="130">
        <f t="shared" si="5"/>
        <v>17</v>
      </c>
      <c r="L30" s="130">
        <f t="shared" si="6"/>
        <v>1077</v>
      </c>
      <c r="M30" s="130">
        <f t="shared" si="6"/>
        <v>445</v>
      </c>
      <c r="N30" s="130">
        <f t="shared" si="6"/>
        <v>1522</v>
      </c>
      <c r="O30" s="130">
        <v>45</v>
      </c>
      <c r="P30" s="130">
        <v>17</v>
      </c>
      <c r="Q30" s="130">
        <f t="shared" si="7"/>
        <v>62</v>
      </c>
      <c r="R30" s="130">
        <v>15</v>
      </c>
      <c r="S30" s="130">
        <v>4</v>
      </c>
      <c r="T30" s="130">
        <f t="shared" si="8"/>
        <v>19</v>
      </c>
      <c r="U30" s="130">
        <v>0</v>
      </c>
      <c r="V30" s="130">
        <v>0</v>
      </c>
      <c r="W30" s="130">
        <f t="shared" si="9"/>
        <v>0</v>
      </c>
      <c r="X30" s="130">
        <f t="shared" si="10"/>
        <v>60</v>
      </c>
      <c r="Y30" s="130">
        <f t="shared" si="1"/>
        <v>21</v>
      </c>
      <c r="Z30" s="130">
        <f t="shared" si="1"/>
        <v>81</v>
      </c>
      <c r="AA30" s="130">
        <v>547</v>
      </c>
      <c r="AB30" s="130">
        <v>236</v>
      </c>
      <c r="AC30" s="130">
        <f t="shared" si="11"/>
        <v>783</v>
      </c>
      <c r="AD30" s="130">
        <v>271</v>
      </c>
      <c r="AE30" s="130">
        <v>97</v>
      </c>
      <c r="AF30" s="130">
        <f t="shared" si="12"/>
        <v>368</v>
      </c>
      <c r="AG30" s="130">
        <v>0</v>
      </c>
      <c r="AH30" s="130">
        <v>0</v>
      </c>
      <c r="AI30" s="130">
        <f t="shared" si="13"/>
        <v>0</v>
      </c>
      <c r="AJ30" s="130">
        <f t="shared" si="14"/>
        <v>818</v>
      </c>
      <c r="AK30" s="130">
        <f t="shared" si="2"/>
        <v>333</v>
      </c>
      <c r="AL30" s="130">
        <f t="shared" si="2"/>
        <v>1151</v>
      </c>
    </row>
    <row r="31" spans="1:38" ht="18" customHeight="1">
      <c r="A31" s="128">
        <v>26</v>
      </c>
      <c r="B31" s="129" t="s">
        <v>36</v>
      </c>
      <c r="C31" s="130">
        <v>10600</v>
      </c>
      <c r="D31" s="130">
        <v>3212</v>
      </c>
      <c r="E31" s="130">
        <f t="shared" si="3"/>
        <v>13812</v>
      </c>
      <c r="F31" s="130">
        <v>12119</v>
      </c>
      <c r="G31" s="130">
        <v>3647</v>
      </c>
      <c r="H31" s="130">
        <f t="shared" si="4"/>
        <v>15766</v>
      </c>
      <c r="I31" s="130">
        <v>1869</v>
      </c>
      <c r="J31" s="130">
        <v>1405</v>
      </c>
      <c r="K31" s="130">
        <f t="shared" si="5"/>
        <v>3274</v>
      </c>
      <c r="L31" s="130">
        <f t="shared" si="6"/>
        <v>24588</v>
      </c>
      <c r="M31" s="130">
        <f t="shared" si="6"/>
        <v>8264</v>
      </c>
      <c r="N31" s="130">
        <f t="shared" si="6"/>
        <v>32852</v>
      </c>
      <c r="O31" s="130">
        <v>1595</v>
      </c>
      <c r="P31" s="130">
        <v>463</v>
      </c>
      <c r="Q31" s="130">
        <f t="shared" si="7"/>
        <v>2058</v>
      </c>
      <c r="R31" s="130">
        <v>1433</v>
      </c>
      <c r="S31" s="130">
        <v>358</v>
      </c>
      <c r="T31" s="130">
        <f t="shared" si="8"/>
        <v>1791</v>
      </c>
      <c r="U31" s="130">
        <v>168</v>
      </c>
      <c r="V31" s="130">
        <v>87</v>
      </c>
      <c r="W31" s="130">
        <f t="shared" si="9"/>
        <v>255</v>
      </c>
      <c r="X31" s="130">
        <f t="shared" si="10"/>
        <v>3196</v>
      </c>
      <c r="Y31" s="130">
        <f t="shared" si="1"/>
        <v>908</v>
      </c>
      <c r="Z31" s="130">
        <f t="shared" si="1"/>
        <v>4104</v>
      </c>
      <c r="AA31" s="130">
        <v>61</v>
      </c>
      <c r="AB31" s="130">
        <v>13</v>
      </c>
      <c r="AC31" s="130">
        <f t="shared" si="11"/>
        <v>74</v>
      </c>
      <c r="AD31" s="130">
        <v>45</v>
      </c>
      <c r="AE31" s="130">
        <v>22</v>
      </c>
      <c r="AF31" s="130">
        <f t="shared" si="12"/>
        <v>67</v>
      </c>
      <c r="AG31" s="130">
        <v>43</v>
      </c>
      <c r="AH31" s="130">
        <v>15</v>
      </c>
      <c r="AI31" s="130">
        <f t="shared" si="13"/>
        <v>58</v>
      </c>
      <c r="AJ31" s="130">
        <f t="shared" si="14"/>
        <v>149</v>
      </c>
      <c r="AK31" s="130">
        <f t="shared" si="2"/>
        <v>50</v>
      </c>
      <c r="AL31" s="130">
        <f t="shared" si="2"/>
        <v>199</v>
      </c>
    </row>
    <row r="32" spans="1:38" ht="18" customHeight="1">
      <c r="A32" s="128">
        <v>27</v>
      </c>
      <c r="B32" s="129" t="s">
        <v>37</v>
      </c>
      <c r="C32" s="130">
        <v>4871</v>
      </c>
      <c r="D32" s="130">
        <v>1891</v>
      </c>
      <c r="E32" s="130">
        <f t="shared" si="3"/>
        <v>6762</v>
      </c>
      <c r="F32" s="130">
        <v>4823</v>
      </c>
      <c r="G32" s="130">
        <v>2502</v>
      </c>
      <c r="H32" s="130">
        <f t="shared" si="4"/>
        <v>7325</v>
      </c>
      <c r="I32" s="130">
        <v>60</v>
      </c>
      <c r="J32" s="130">
        <v>98</v>
      </c>
      <c r="K32" s="130">
        <f t="shared" si="5"/>
        <v>158</v>
      </c>
      <c r="L32" s="130">
        <f t="shared" si="6"/>
        <v>9754</v>
      </c>
      <c r="M32" s="130">
        <f t="shared" si="6"/>
        <v>4491</v>
      </c>
      <c r="N32" s="130">
        <f t="shared" si="6"/>
        <v>14245</v>
      </c>
      <c r="O32" s="130">
        <v>713</v>
      </c>
      <c r="P32" s="130">
        <v>255</v>
      </c>
      <c r="Q32" s="130">
        <f t="shared" si="7"/>
        <v>968</v>
      </c>
      <c r="R32" s="130">
        <v>596</v>
      </c>
      <c r="S32" s="130">
        <v>253</v>
      </c>
      <c r="T32" s="130">
        <f t="shared" si="8"/>
        <v>849</v>
      </c>
      <c r="U32" s="130">
        <v>6</v>
      </c>
      <c r="V32" s="130">
        <v>17</v>
      </c>
      <c r="W32" s="130">
        <f t="shared" si="9"/>
        <v>23</v>
      </c>
      <c r="X32" s="130">
        <f t="shared" si="10"/>
        <v>1315</v>
      </c>
      <c r="Y32" s="130">
        <f t="shared" si="1"/>
        <v>525</v>
      </c>
      <c r="Z32" s="130">
        <f t="shared" si="1"/>
        <v>1840</v>
      </c>
      <c r="AA32" s="130">
        <v>111</v>
      </c>
      <c r="AB32" s="130">
        <v>95</v>
      </c>
      <c r="AC32" s="130">
        <f t="shared" si="11"/>
        <v>206</v>
      </c>
      <c r="AD32" s="130">
        <v>147</v>
      </c>
      <c r="AE32" s="130">
        <v>74</v>
      </c>
      <c r="AF32" s="130">
        <f t="shared" si="12"/>
        <v>221</v>
      </c>
      <c r="AG32" s="130">
        <v>0</v>
      </c>
      <c r="AH32" s="130">
        <v>2</v>
      </c>
      <c r="AI32" s="130">
        <f t="shared" si="13"/>
        <v>2</v>
      </c>
      <c r="AJ32" s="130">
        <f t="shared" si="14"/>
        <v>258</v>
      </c>
      <c r="AK32" s="130">
        <f t="shared" si="2"/>
        <v>171</v>
      </c>
      <c r="AL32" s="130">
        <f t="shared" si="2"/>
        <v>429</v>
      </c>
    </row>
    <row r="33" spans="1:38" ht="18" customHeight="1">
      <c r="A33" s="128">
        <v>28</v>
      </c>
      <c r="B33" s="129" t="s">
        <v>57</v>
      </c>
      <c r="C33" s="130">
        <v>6084</v>
      </c>
      <c r="D33" s="130">
        <v>5763</v>
      </c>
      <c r="E33" s="130">
        <f t="shared" si="3"/>
        <v>11847</v>
      </c>
      <c r="F33" s="130">
        <v>5103</v>
      </c>
      <c r="G33" s="130">
        <v>4392</v>
      </c>
      <c r="H33" s="130">
        <f t="shared" si="4"/>
        <v>9495</v>
      </c>
      <c r="I33" s="130">
        <v>259</v>
      </c>
      <c r="J33" s="130">
        <v>67</v>
      </c>
      <c r="K33" s="130">
        <f t="shared" si="5"/>
        <v>326</v>
      </c>
      <c r="L33" s="130">
        <f t="shared" si="6"/>
        <v>11446</v>
      </c>
      <c r="M33" s="130">
        <f t="shared" si="6"/>
        <v>10222</v>
      </c>
      <c r="N33" s="130">
        <f t="shared" si="6"/>
        <v>21668</v>
      </c>
      <c r="O33" s="130">
        <v>337</v>
      </c>
      <c r="P33" s="130">
        <v>234</v>
      </c>
      <c r="Q33" s="130">
        <f t="shared" si="7"/>
        <v>571</v>
      </c>
      <c r="R33" s="130">
        <v>277</v>
      </c>
      <c r="S33" s="130">
        <v>204</v>
      </c>
      <c r="T33" s="130">
        <f t="shared" si="8"/>
        <v>481</v>
      </c>
      <c r="U33" s="130">
        <v>26</v>
      </c>
      <c r="V33" s="130">
        <v>3</v>
      </c>
      <c r="W33" s="130">
        <f t="shared" si="9"/>
        <v>29</v>
      </c>
      <c r="X33" s="130">
        <f t="shared" si="10"/>
        <v>640</v>
      </c>
      <c r="Y33" s="130">
        <f t="shared" si="1"/>
        <v>441</v>
      </c>
      <c r="Z33" s="130">
        <f t="shared" si="1"/>
        <v>1081</v>
      </c>
      <c r="AA33" s="130">
        <v>520</v>
      </c>
      <c r="AB33" s="130">
        <v>602</v>
      </c>
      <c r="AC33" s="130">
        <f t="shared" si="11"/>
        <v>1122</v>
      </c>
      <c r="AD33" s="130">
        <v>446</v>
      </c>
      <c r="AE33" s="130">
        <v>481</v>
      </c>
      <c r="AF33" s="130">
        <f t="shared" si="12"/>
        <v>927</v>
      </c>
      <c r="AG33" s="130">
        <v>20</v>
      </c>
      <c r="AH33" s="130">
        <v>7</v>
      </c>
      <c r="AI33" s="130">
        <f t="shared" si="13"/>
        <v>27</v>
      </c>
      <c r="AJ33" s="130">
        <f t="shared" si="14"/>
        <v>986</v>
      </c>
      <c r="AK33" s="130">
        <f t="shared" si="2"/>
        <v>1090</v>
      </c>
      <c r="AL33" s="130">
        <f t="shared" si="2"/>
        <v>2076</v>
      </c>
    </row>
    <row r="34" spans="1:38" ht="18" customHeight="1">
      <c r="A34" s="128">
        <v>29</v>
      </c>
      <c r="B34" s="129" t="s">
        <v>39</v>
      </c>
      <c r="C34" s="130">
        <v>1000</v>
      </c>
      <c r="D34" s="130">
        <v>526</v>
      </c>
      <c r="E34" s="130">
        <f t="shared" si="3"/>
        <v>1526</v>
      </c>
      <c r="F34" s="130">
        <v>770</v>
      </c>
      <c r="G34" s="130">
        <v>644</v>
      </c>
      <c r="H34" s="130">
        <f t="shared" si="4"/>
        <v>1414</v>
      </c>
      <c r="I34" s="130">
        <v>5</v>
      </c>
      <c r="J34" s="130">
        <v>2</v>
      </c>
      <c r="K34" s="130">
        <f t="shared" si="5"/>
        <v>7</v>
      </c>
      <c r="L34" s="130">
        <f t="shared" si="6"/>
        <v>1775</v>
      </c>
      <c r="M34" s="130">
        <f t="shared" si="6"/>
        <v>1172</v>
      </c>
      <c r="N34" s="130">
        <f t="shared" si="6"/>
        <v>2947</v>
      </c>
      <c r="O34" s="130">
        <v>53</v>
      </c>
      <c r="P34" s="130">
        <v>18</v>
      </c>
      <c r="Q34" s="130">
        <f t="shared" si="7"/>
        <v>71</v>
      </c>
      <c r="R34" s="130">
        <v>13</v>
      </c>
      <c r="S34" s="130">
        <v>24</v>
      </c>
      <c r="T34" s="130">
        <f t="shared" si="8"/>
        <v>37</v>
      </c>
      <c r="U34" s="130">
        <v>0</v>
      </c>
      <c r="V34" s="130">
        <v>0</v>
      </c>
      <c r="W34" s="130">
        <f t="shared" si="9"/>
        <v>0</v>
      </c>
      <c r="X34" s="130">
        <f t="shared" si="10"/>
        <v>66</v>
      </c>
      <c r="Y34" s="130">
        <f t="shared" si="1"/>
        <v>42</v>
      </c>
      <c r="Z34" s="130">
        <f t="shared" si="1"/>
        <v>108</v>
      </c>
      <c r="AA34" s="130">
        <v>42</v>
      </c>
      <c r="AB34" s="130">
        <v>24</v>
      </c>
      <c r="AC34" s="130">
        <f t="shared" si="11"/>
        <v>66</v>
      </c>
      <c r="AD34" s="130">
        <v>51</v>
      </c>
      <c r="AE34" s="130">
        <v>82</v>
      </c>
      <c r="AF34" s="130">
        <f t="shared" si="12"/>
        <v>133</v>
      </c>
      <c r="AG34" s="130">
        <v>0</v>
      </c>
      <c r="AH34" s="130">
        <v>0</v>
      </c>
      <c r="AI34" s="130">
        <f t="shared" si="13"/>
        <v>0</v>
      </c>
      <c r="AJ34" s="130">
        <f t="shared" si="14"/>
        <v>93</v>
      </c>
      <c r="AK34" s="130">
        <f t="shared" si="2"/>
        <v>106</v>
      </c>
      <c r="AL34" s="130">
        <f t="shared" si="2"/>
        <v>199</v>
      </c>
    </row>
    <row r="35" spans="1:38" ht="18" customHeight="1">
      <c r="A35" s="128">
        <v>30</v>
      </c>
      <c r="B35" s="129" t="s">
        <v>40</v>
      </c>
      <c r="C35" s="130">
        <v>892</v>
      </c>
      <c r="D35" s="130">
        <v>534</v>
      </c>
      <c r="E35" s="130">
        <f t="shared" si="3"/>
        <v>1426</v>
      </c>
      <c r="F35" s="130">
        <v>353</v>
      </c>
      <c r="G35" s="130">
        <v>214</v>
      </c>
      <c r="H35" s="130">
        <f t="shared" si="4"/>
        <v>567</v>
      </c>
      <c r="I35" s="130">
        <v>84</v>
      </c>
      <c r="J35" s="130">
        <v>214</v>
      </c>
      <c r="K35" s="130">
        <f t="shared" si="5"/>
        <v>298</v>
      </c>
      <c r="L35" s="130">
        <f t="shared" si="6"/>
        <v>1329</v>
      </c>
      <c r="M35" s="130">
        <f t="shared" si="6"/>
        <v>962</v>
      </c>
      <c r="N35" s="130">
        <f t="shared" si="6"/>
        <v>2291</v>
      </c>
      <c r="O35" s="130">
        <v>82</v>
      </c>
      <c r="P35" s="130">
        <v>44</v>
      </c>
      <c r="Q35" s="130">
        <f t="shared" si="7"/>
        <v>126</v>
      </c>
      <c r="R35" s="130">
        <v>40</v>
      </c>
      <c r="S35" s="130">
        <v>17</v>
      </c>
      <c r="T35" s="130">
        <f t="shared" si="8"/>
        <v>57</v>
      </c>
      <c r="U35" s="130">
        <v>6</v>
      </c>
      <c r="V35" s="130">
        <v>32</v>
      </c>
      <c r="W35" s="130">
        <f t="shared" si="9"/>
        <v>38</v>
      </c>
      <c r="X35" s="130">
        <f t="shared" si="10"/>
        <v>128</v>
      </c>
      <c r="Y35" s="130">
        <f t="shared" si="1"/>
        <v>93</v>
      </c>
      <c r="Z35" s="130">
        <f t="shared" si="1"/>
        <v>221</v>
      </c>
      <c r="AA35" s="130">
        <v>6</v>
      </c>
      <c r="AB35" s="130">
        <v>4</v>
      </c>
      <c r="AC35" s="130">
        <f t="shared" si="11"/>
        <v>10</v>
      </c>
      <c r="AD35" s="130">
        <v>4</v>
      </c>
      <c r="AE35" s="130">
        <v>3</v>
      </c>
      <c r="AF35" s="130">
        <f t="shared" si="12"/>
        <v>7</v>
      </c>
      <c r="AG35" s="130">
        <v>0</v>
      </c>
      <c r="AH35" s="130">
        <v>0</v>
      </c>
      <c r="AI35" s="130">
        <f t="shared" si="13"/>
        <v>0</v>
      </c>
      <c r="AJ35" s="130">
        <f t="shared" si="14"/>
        <v>10</v>
      </c>
      <c r="AK35" s="130">
        <f t="shared" si="2"/>
        <v>7</v>
      </c>
      <c r="AL35" s="130">
        <f t="shared" si="2"/>
        <v>17</v>
      </c>
    </row>
    <row r="36" spans="1:38" ht="18" customHeight="1">
      <c r="A36" s="128">
        <v>31</v>
      </c>
      <c r="B36" s="129" t="s">
        <v>41</v>
      </c>
      <c r="C36" s="130">
        <v>0</v>
      </c>
      <c r="D36" s="130">
        <v>0</v>
      </c>
      <c r="E36" s="130">
        <f t="shared" si="3"/>
        <v>0</v>
      </c>
      <c r="F36" s="130">
        <v>0</v>
      </c>
      <c r="G36" s="130">
        <v>0</v>
      </c>
      <c r="H36" s="130">
        <f t="shared" si="4"/>
        <v>0</v>
      </c>
      <c r="I36" s="130">
        <v>0</v>
      </c>
      <c r="J36" s="130">
        <v>0</v>
      </c>
      <c r="K36" s="130">
        <f t="shared" si="5"/>
        <v>0</v>
      </c>
      <c r="L36" s="130">
        <f t="shared" si="6"/>
        <v>0</v>
      </c>
      <c r="M36" s="130">
        <f t="shared" si="6"/>
        <v>0</v>
      </c>
      <c r="N36" s="130">
        <f t="shared" si="6"/>
        <v>0</v>
      </c>
      <c r="O36" s="130">
        <v>0</v>
      </c>
      <c r="P36" s="130">
        <v>0</v>
      </c>
      <c r="Q36" s="130">
        <f t="shared" si="7"/>
        <v>0</v>
      </c>
      <c r="R36" s="130">
        <v>0</v>
      </c>
      <c r="S36" s="130">
        <v>0</v>
      </c>
      <c r="T36" s="130">
        <f t="shared" si="8"/>
        <v>0</v>
      </c>
      <c r="U36" s="130">
        <v>0</v>
      </c>
      <c r="V36" s="130">
        <v>0</v>
      </c>
      <c r="W36" s="130">
        <f t="shared" si="9"/>
        <v>0</v>
      </c>
      <c r="X36" s="130">
        <f t="shared" si="10"/>
        <v>0</v>
      </c>
      <c r="Y36" s="130">
        <f t="shared" si="1"/>
        <v>0</v>
      </c>
      <c r="Z36" s="130">
        <f t="shared" si="1"/>
        <v>0</v>
      </c>
      <c r="AA36" s="130">
        <v>0</v>
      </c>
      <c r="AB36" s="130">
        <v>0</v>
      </c>
      <c r="AC36" s="130">
        <f t="shared" si="11"/>
        <v>0</v>
      </c>
      <c r="AD36" s="130">
        <v>0</v>
      </c>
      <c r="AE36" s="130">
        <v>0</v>
      </c>
      <c r="AF36" s="130">
        <f t="shared" si="12"/>
        <v>0</v>
      </c>
      <c r="AG36" s="130">
        <v>0</v>
      </c>
      <c r="AH36" s="130">
        <v>0</v>
      </c>
      <c r="AI36" s="130">
        <f t="shared" si="13"/>
        <v>0</v>
      </c>
      <c r="AJ36" s="130">
        <f t="shared" si="14"/>
        <v>0</v>
      </c>
      <c r="AK36" s="130">
        <f t="shared" si="2"/>
        <v>0</v>
      </c>
      <c r="AL36" s="130">
        <f t="shared" si="2"/>
        <v>0</v>
      </c>
    </row>
    <row r="37" spans="1:38" ht="18" customHeight="1">
      <c r="A37" s="128">
        <v>32</v>
      </c>
      <c r="B37" s="129" t="s">
        <v>42</v>
      </c>
      <c r="C37" s="130">
        <v>0</v>
      </c>
      <c r="D37" s="130">
        <v>0</v>
      </c>
      <c r="E37" s="130">
        <f t="shared" si="3"/>
        <v>0</v>
      </c>
      <c r="F37" s="130">
        <v>0</v>
      </c>
      <c r="G37" s="130">
        <v>0</v>
      </c>
      <c r="H37" s="130">
        <f t="shared" si="4"/>
        <v>0</v>
      </c>
      <c r="I37" s="130">
        <v>0</v>
      </c>
      <c r="J37" s="130">
        <v>0</v>
      </c>
      <c r="K37" s="130">
        <f t="shared" si="5"/>
        <v>0</v>
      </c>
      <c r="L37" s="130">
        <f t="shared" si="6"/>
        <v>0</v>
      </c>
      <c r="M37" s="130">
        <f t="shared" si="6"/>
        <v>0</v>
      </c>
      <c r="N37" s="130">
        <f t="shared" si="6"/>
        <v>0</v>
      </c>
      <c r="O37" s="130">
        <v>0</v>
      </c>
      <c r="P37" s="130">
        <v>0</v>
      </c>
      <c r="Q37" s="130">
        <f t="shared" si="7"/>
        <v>0</v>
      </c>
      <c r="R37" s="130">
        <v>0</v>
      </c>
      <c r="S37" s="130">
        <v>0</v>
      </c>
      <c r="T37" s="130">
        <f t="shared" si="8"/>
        <v>0</v>
      </c>
      <c r="U37" s="130">
        <v>0</v>
      </c>
      <c r="V37" s="130">
        <v>0</v>
      </c>
      <c r="W37" s="130">
        <f t="shared" si="9"/>
        <v>0</v>
      </c>
      <c r="X37" s="130">
        <f t="shared" si="10"/>
        <v>0</v>
      </c>
      <c r="Y37" s="130">
        <f t="shared" si="1"/>
        <v>0</v>
      </c>
      <c r="Z37" s="130">
        <f t="shared" si="1"/>
        <v>0</v>
      </c>
      <c r="AA37" s="130">
        <v>0</v>
      </c>
      <c r="AB37" s="130">
        <v>0</v>
      </c>
      <c r="AC37" s="130">
        <f t="shared" si="11"/>
        <v>0</v>
      </c>
      <c r="AD37" s="130">
        <v>0</v>
      </c>
      <c r="AE37" s="130">
        <v>0</v>
      </c>
      <c r="AF37" s="130">
        <f t="shared" si="12"/>
        <v>0</v>
      </c>
      <c r="AG37" s="130">
        <v>0</v>
      </c>
      <c r="AH37" s="130">
        <v>0</v>
      </c>
      <c r="AI37" s="130">
        <f t="shared" si="13"/>
        <v>0</v>
      </c>
      <c r="AJ37" s="130">
        <f t="shared" si="14"/>
        <v>0</v>
      </c>
      <c r="AK37" s="130">
        <f t="shared" si="2"/>
        <v>0</v>
      </c>
      <c r="AL37" s="130">
        <f t="shared" si="2"/>
        <v>0</v>
      </c>
    </row>
    <row r="38" spans="1:38" ht="18" customHeight="1">
      <c r="A38" s="128">
        <v>33</v>
      </c>
      <c r="B38" s="129" t="s">
        <v>43</v>
      </c>
      <c r="C38" s="130">
        <v>28470</v>
      </c>
      <c r="D38" s="130">
        <v>11415</v>
      </c>
      <c r="E38" s="130">
        <f t="shared" si="3"/>
        <v>39885</v>
      </c>
      <c r="F38" s="130">
        <v>27862</v>
      </c>
      <c r="G38" s="130">
        <v>11428</v>
      </c>
      <c r="H38" s="130">
        <f t="shared" si="4"/>
        <v>39290</v>
      </c>
      <c r="I38" s="130">
        <v>880</v>
      </c>
      <c r="J38" s="130">
        <v>2822</v>
      </c>
      <c r="K38" s="130">
        <f t="shared" si="5"/>
        <v>3702</v>
      </c>
      <c r="L38" s="130">
        <f t="shared" si="6"/>
        <v>57212</v>
      </c>
      <c r="M38" s="130">
        <f t="shared" si="6"/>
        <v>25665</v>
      </c>
      <c r="N38" s="130">
        <f t="shared" si="6"/>
        <v>82877</v>
      </c>
      <c r="O38" s="130">
        <v>6885</v>
      </c>
      <c r="P38" s="130">
        <v>2092</v>
      </c>
      <c r="Q38" s="130">
        <f t="shared" si="7"/>
        <v>8977</v>
      </c>
      <c r="R38" s="130">
        <v>5541</v>
      </c>
      <c r="S38" s="130">
        <v>1930</v>
      </c>
      <c r="T38" s="130">
        <f t="shared" si="8"/>
        <v>7471</v>
      </c>
      <c r="U38" s="130">
        <v>146</v>
      </c>
      <c r="V38" s="130">
        <v>333</v>
      </c>
      <c r="W38" s="130">
        <f t="shared" si="9"/>
        <v>479</v>
      </c>
      <c r="X38" s="130">
        <f t="shared" si="10"/>
        <v>12572</v>
      </c>
      <c r="Y38" s="130">
        <f t="shared" si="1"/>
        <v>4355</v>
      </c>
      <c r="Z38" s="130">
        <f t="shared" si="1"/>
        <v>16927</v>
      </c>
      <c r="AA38" s="130">
        <v>178</v>
      </c>
      <c r="AB38" s="130">
        <v>71</v>
      </c>
      <c r="AC38" s="130">
        <f t="shared" si="11"/>
        <v>249</v>
      </c>
      <c r="AD38" s="130">
        <v>224</v>
      </c>
      <c r="AE38" s="130">
        <v>144</v>
      </c>
      <c r="AF38" s="130">
        <f t="shared" si="12"/>
        <v>368</v>
      </c>
      <c r="AG38" s="130">
        <v>16</v>
      </c>
      <c r="AH38" s="130">
        <v>47</v>
      </c>
      <c r="AI38" s="130">
        <f t="shared" si="13"/>
        <v>63</v>
      </c>
      <c r="AJ38" s="130">
        <f t="shared" si="14"/>
        <v>418</v>
      </c>
      <c r="AK38" s="130">
        <f t="shared" si="2"/>
        <v>262</v>
      </c>
      <c r="AL38" s="130">
        <f t="shared" si="2"/>
        <v>680</v>
      </c>
    </row>
    <row r="39" spans="1:38" ht="18" customHeight="1">
      <c r="A39" s="128">
        <v>34</v>
      </c>
      <c r="B39" s="129" t="s">
        <v>58</v>
      </c>
      <c r="C39" s="130">
        <v>0</v>
      </c>
      <c r="D39" s="130">
        <v>0</v>
      </c>
      <c r="E39" s="130">
        <f t="shared" si="3"/>
        <v>0</v>
      </c>
      <c r="F39" s="130">
        <v>6</v>
      </c>
      <c r="G39" s="130">
        <v>10</v>
      </c>
      <c r="H39" s="130">
        <f t="shared" si="4"/>
        <v>16</v>
      </c>
      <c r="I39" s="130">
        <v>0</v>
      </c>
      <c r="J39" s="130">
        <v>0</v>
      </c>
      <c r="K39" s="130">
        <f t="shared" si="5"/>
        <v>0</v>
      </c>
      <c r="L39" s="130">
        <f t="shared" si="6"/>
        <v>6</v>
      </c>
      <c r="M39" s="130">
        <f t="shared" si="6"/>
        <v>10</v>
      </c>
      <c r="N39" s="130">
        <f t="shared" si="6"/>
        <v>16</v>
      </c>
      <c r="O39" s="130">
        <v>200</v>
      </c>
      <c r="P39" s="130">
        <v>166</v>
      </c>
      <c r="Q39" s="130">
        <f t="shared" si="7"/>
        <v>366</v>
      </c>
      <c r="R39" s="130">
        <v>0</v>
      </c>
      <c r="S39" s="130">
        <v>0</v>
      </c>
      <c r="T39" s="130">
        <f t="shared" si="8"/>
        <v>0</v>
      </c>
      <c r="U39" s="130">
        <v>0</v>
      </c>
      <c r="V39" s="130">
        <v>0</v>
      </c>
      <c r="W39" s="130">
        <f t="shared" si="9"/>
        <v>0</v>
      </c>
      <c r="X39" s="130">
        <f t="shared" si="10"/>
        <v>200</v>
      </c>
      <c r="Y39" s="130">
        <f t="shared" si="1"/>
        <v>166</v>
      </c>
      <c r="Z39" s="130">
        <f t="shared" si="1"/>
        <v>366</v>
      </c>
      <c r="AA39" s="130">
        <v>0</v>
      </c>
      <c r="AB39" s="130">
        <v>0</v>
      </c>
      <c r="AC39" s="130">
        <f t="shared" si="11"/>
        <v>0</v>
      </c>
      <c r="AD39" s="130">
        <v>0</v>
      </c>
      <c r="AE39" s="130">
        <v>6</v>
      </c>
      <c r="AF39" s="130">
        <f t="shared" si="12"/>
        <v>6</v>
      </c>
      <c r="AG39" s="130">
        <v>0</v>
      </c>
      <c r="AH39" s="130">
        <v>0</v>
      </c>
      <c r="AI39" s="130">
        <f t="shared" si="13"/>
        <v>0</v>
      </c>
      <c r="AJ39" s="130">
        <f t="shared" si="14"/>
        <v>0</v>
      </c>
      <c r="AK39" s="130">
        <f t="shared" si="2"/>
        <v>6</v>
      </c>
      <c r="AL39" s="130">
        <f t="shared" si="2"/>
        <v>6</v>
      </c>
    </row>
    <row r="40" spans="1:38" ht="18" customHeight="1">
      <c r="A40" s="128">
        <v>35</v>
      </c>
      <c r="B40" s="129" t="s">
        <v>45</v>
      </c>
      <c r="C40" s="130">
        <v>1</v>
      </c>
      <c r="D40" s="130">
        <v>0</v>
      </c>
      <c r="E40" s="130">
        <f t="shared" si="3"/>
        <v>1</v>
      </c>
      <c r="F40" s="130">
        <v>2</v>
      </c>
      <c r="G40" s="130">
        <v>1</v>
      </c>
      <c r="H40" s="130">
        <f t="shared" si="4"/>
        <v>3</v>
      </c>
      <c r="I40" s="130">
        <v>0</v>
      </c>
      <c r="J40" s="130">
        <v>100</v>
      </c>
      <c r="K40" s="130">
        <f t="shared" si="5"/>
        <v>100</v>
      </c>
      <c r="L40" s="130">
        <f t="shared" si="6"/>
        <v>3</v>
      </c>
      <c r="M40" s="130">
        <f t="shared" si="6"/>
        <v>101</v>
      </c>
      <c r="N40" s="130">
        <f t="shared" si="6"/>
        <v>104</v>
      </c>
      <c r="O40" s="130">
        <v>0</v>
      </c>
      <c r="P40" s="130">
        <v>0</v>
      </c>
      <c r="Q40" s="130">
        <f t="shared" si="7"/>
        <v>0</v>
      </c>
      <c r="R40" s="130">
        <v>0</v>
      </c>
      <c r="S40" s="130">
        <v>0</v>
      </c>
      <c r="T40" s="130">
        <f t="shared" si="8"/>
        <v>0</v>
      </c>
      <c r="U40" s="130">
        <v>0</v>
      </c>
      <c r="V40" s="130">
        <v>18</v>
      </c>
      <c r="W40" s="130">
        <f t="shared" si="9"/>
        <v>18</v>
      </c>
      <c r="X40" s="130">
        <f t="shared" si="10"/>
        <v>0</v>
      </c>
      <c r="Y40" s="130">
        <f t="shared" si="1"/>
        <v>18</v>
      </c>
      <c r="Z40" s="130">
        <f t="shared" si="1"/>
        <v>18</v>
      </c>
      <c r="AA40" s="130">
        <v>0</v>
      </c>
      <c r="AB40" s="130">
        <v>0</v>
      </c>
      <c r="AC40" s="130">
        <f t="shared" si="11"/>
        <v>0</v>
      </c>
      <c r="AD40" s="130">
        <v>0</v>
      </c>
      <c r="AE40" s="130">
        <v>0</v>
      </c>
      <c r="AF40" s="130">
        <f t="shared" si="12"/>
        <v>0</v>
      </c>
      <c r="AG40" s="130">
        <v>0</v>
      </c>
      <c r="AH40" s="130">
        <v>0</v>
      </c>
      <c r="AI40" s="130">
        <f t="shared" si="13"/>
        <v>0</v>
      </c>
      <c r="AJ40" s="130">
        <f t="shared" si="14"/>
        <v>0</v>
      </c>
      <c r="AK40" s="130">
        <f t="shared" si="2"/>
        <v>0</v>
      </c>
      <c r="AL40" s="130">
        <f t="shared" si="2"/>
        <v>0</v>
      </c>
    </row>
    <row r="41" spans="1:38" s="133" customFormat="1" ht="18" customHeight="1">
      <c r="A41" s="305" t="s">
        <v>46</v>
      </c>
      <c r="B41" s="306"/>
      <c r="C41" s="132">
        <f t="shared" ref="C41:D41" si="15">SUM(C6:C40)</f>
        <v>129629</v>
      </c>
      <c r="D41" s="132">
        <f t="shared" si="15"/>
        <v>57234</v>
      </c>
      <c r="E41" s="132">
        <f>SUM(E6:E40)</f>
        <v>186863</v>
      </c>
      <c r="F41" s="132">
        <f t="shared" ref="F41:G41" si="16">SUM(F6:F40)</f>
        <v>126040</v>
      </c>
      <c r="G41" s="132">
        <f t="shared" si="16"/>
        <v>53618</v>
      </c>
      <c r="H41" s="132">
        <f>SUM(H6:H40)</f>
        <v>179658</v>
      </c>
      <c r="I41" s="132">
        <f t="shared" ref="I41:AL41" si="17">SUM(I6:I40)</f>
        <v>8397</v>
      </c>
      <c r="J41" s="132">
        <f t="shared" si="17"/>
        <v>13453</v>
      </c>
      <c r="K41" s="132">
        <f t="shared" si="17"/>
        <v>21850</v>
      </c>
      <c r="L41" s="132">
        <f t="shared" si="17"/>
        <v>264066</v>
      </c>
      <c r="M41" s="132">
        <f t="shared" si="17"/>
        <v>124305</v>
      </c>
      <c r="N41" s="132">
        <f t="shared" si="17"/>
        <v>388371</v>
      </c>
      <c r="O41" s="132">
        <f t="shared" si="17"/>
        <v>19945</v>
      </c>
      <c r="P41" s="132">
        <f t="shared" si="17"/>
        <v>6389</v>
      </c>
      <c r="Q41" s="132">
        <f t="shared" si="17"/>
        <v>26334</v>
      </c>
      <c r="R41" s="132">
        <f t="shared" si="17"/>
        <v>17131</v>
      </c>
      <c r="S41" s="132">
        <f t="shared" si="17"/>
        <v>5683</v>
      </c>
      <c r="T41" s="132">
        <f t="shared" si="17"/>
        <v>22814</v>
      </c>
      <c r="U41" s="132">
        <f t="shared" si="17"/>
        <v>697</v>
      </c>
      <c r="V41" s="132">
        <f t="shared" si="17"/>
        <v>919</v>
      </c>
      <c r="W41" s="132">
        <f t="shared" si="17"/>
        <v>1616</v>
      </c>
      <c r="X41" s="132">
        <f t="shared" si="17"/>
        <v>37773</v>
      </c>
      <c r="Y41" s="132">
        <f t="shared" si="17"/>
        <v>12991</v>
      </c>
      <c r="Z41" s="132">
        <f t="shared" si="17"/>
        <v>50764</v>
      </c>
      <c r="AA41" s="132">
        <f t="shared" si="17"/>
        <v>7711</v>
      </c>
      <c r="AB41" s="132">
        <f t="shared" si="17"/>
        <v>7287</v>
      </c>
      <c r="AC41" s="132">
        <f t="shared" si="17"/>
        <v>14998</v>
      </c>
      <c r="AD41" s="132">
        <f t="shared" si="17"/>
        <v>5990</v>
      </c>
      <c r="AE41" s="132">
        <f t="shared" si="17"/>
        <v>5287</v>
      </c>
      <c r="AF41" s="132">
        <f t="shared" si="17"/>
        <v>11277</v>
      </c>
      <c r="AG41" s="132">
        <f t="shared" si="17"/>
        <v>244</v>
      </c>
      <c r="AH41" s="132">
        <f t="shared" si="17"/>
        <v>222</v>
      </c>
      <c r="AI41" s="132">
        <f t="shared" si="17"/>
        <v>466</v>
      </c>
      <c r="AJ41" s="132">
        <f t="shared" si="17"/>
        <v>13945</v>
      </c>
      <c r="AK41" s="132">
        <f t="shared" si="17"/>
        <v>12796</v>
      </c>
      <c r="AL41" s="132">
        <f t="shared" si="17"/>
        <v>26741</v>
      </c>
    </row>
    <row r="42" spans="1:38" s="134" customFormat="1" ht="27" customHeight="1">
      <c r="C42" s="134" t="s">
        <v>77</v>
      </c>
      <c r="I42" s="134" t="str">
        <f>C42</f>
        <v>Source: National Institute of Open School (NIOS)</v>
      </c>
      <c r="O42" s="134" t="str">
        <f>C42</f>
        <v>Source: National Institute of Open School (NIOS)</v>
      </c>
      <c r="U42" s="134" t="str">
        <f>O42</f>
        <v>Source: National Institute of Open School (NIOS)</v>
      </c>
      <c r="AA42" s="134" t="str">
        <f>O42</f>
        <v>Source: National Institute of Open School (NIOS)</v>
      </c>
      <c r="AG42" s="134" t="str">
        <f>AA42</f>
        <v>Source: National Institute of Open School (NIOS)</v>
      </c>
    </row>
  </sheetData>
  <mergeCells count="15">
    <mergeCell ref="AG3:AI3"/>
    <mergeCell ref="AJ3:AL3"/>
    <mergeCell ref="A41:B41"/>
    <mergeCell ref="O3:Q3"/>
    <mergeCell ref="R3:T3"/>
    <mergeCell ref="U3:W3"/>
    <mergeCell ref="X3:Z3"/>
    <mergeCell ref="AA3:AC3"/>
    <mergeCell ref="AD3:AF3"/>
    <mergeCell ref="A3:A4"/>
    <mergeCell ref="B3:B4"/>
    <mergeCell ref="C3:E3"/>
    <mergeCell ref="F3:H3"/>
    <mergeCell ref="I3:K3"/>
    <mergeCell ref="L3:N3"/>
  </mergeCells>
  <printOptions horizontalCentered="1"/>
  <pageMargins left="0.28000000000000003" right="0.24" top="0.66" bottom="0.53" header="0.35" footer="0.23"/>
  <pageSetup paperSize="9" firstPageNumber="37" orientation="portrait" useFirstPageNumber="1" r:id="rId1"/>
  <headerFooter alignWithMargins="0">
    <oddFooter>&amp;L&amp;"Arial,Regular"&amp;10STATISTICS OF SCHOOL EDUCATION 2011-12&amp;R&amp;P</oddFooter>
  </headerFooter>
  <colBreaks count="2" manualBreakCount="2">
    <brk id="14" max="42" man="1"/>
    <brk id="26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58</vt:i4>
      </vt:variant>
    </vt:vector>
  </HeadingPairs>
  <TitlesOfParts>
    <vt:vector size="87" baseType="lpstr">
      <vt:lpstr>Inst</vt:lpstr>
      <vt:lpstr>InstMan</vt:lpstr>
      <vt:lpstr>EnrlAll</vt:lpstr>
      <vt:lpstr>EnrlSC</vt:lpstr>
      <vt:lpstr>EnrlST</vt:lpstr>
      <vt:lpstr>Rural enrl</vt:lpstr>
      <vt:lpstr>%age Rural enrl</vt:lpstr>
      <vt:lpstr>Disabled</vt:lpstr>
      <vt:lpstr>EnrlOS</vt:lpstr>
      <vt:lpstr>Teacher</vt:lpstr>
      <vt:lpstr>TrainedTeacher</vt:lpstr>
      <vt:lpstr>F-MTeacher</vt:lpstr>
      <vt:lpstr>PTR</vt:lpstr>
      <vt:lpstr>GERAll</vt:lpstr>
      <vt:lpstr>GERSC</vt:lpstr>
      <vt:lpstr>GERST</vt:lpstr>
      <vt:lpstr>GPI</vt:lpstr>
      <vt:lpstr>GPISC</vt:lpstr>
      <vt:lpstr>GPIST</vt:lpstr>
      <vt:lpstr>G-B</vt:lpstr>
      <vt:lpstr>G-BSC</vt:lpstr>
      <vt:lpstr>G-BST</vt:lpstr>
      <vt:lpstr>DropOut</vt:lpstr>
      <vt:lpstr>Total Population </vt:lpstr>
      <vt:lpstr>SC-Population</vt:lpstr>
      <vt:lpstr>ST-Population</vt:lpstr>
      <vt:lpstr>Enrl-BackSeries</vt:lpstr>
      <vt:lpstr>Enrl-School</vt:lpstr>
      <vt:lpstr>PTR (2)</vt:lpstr>
      <vt:lpstr>'%age Rural enrl'!Print_Area</vt:lpstr>
      <vt:lpstr>Disabled!Print_Area</vt:lpstr>
      <vt:lpstr>DropOut!Print_Area</vt:lpstr>
      <vt:lpstr>EnrlAll!Print_Area</vt:lpstr>
      <vt:lpstr>'Enrl-BackSeries'!Print_Area</vt:lpstr>
      <vt:lpstr>EnrlOS!Print_Area</vt:lpstr>
      <vt:lpstr>EnrlSC!Print_Area</vt:lpstr>
      <vt:lpstr>'Enrl-School'!Print_Area</vt:lpstr>
      <vt:lpstr>EnrlST!Print_Area</vt:lpstr>
      <vt:lpstr>'F-MTeacher'!Print_Area</vt:lpstr>
      <vt:lpstr>'G-B'!Print_Area</vt:lpstr>
      <vt:lpstr>'G-BSC'!Print_Area</vt:lpstr>
      <vt:lpstr>'G-BST'!Print_Area</vt:lpstr>
      <vt:lpstr>GERAll!Print_Area</vt:lpstr>
      <vt:lpstr>GERSC!Print_Area</vt:lpstr>
      <vt:lpstr>GERST!Print_Area</vt:lpstr>
      <vt:lpstr>GPI!Print_Area</vt:lpstr>
      <vt:lpstr>GPISC!Print_Area</vt:lpstr>
      <vt:lpstr>GPIST!Print_Area</vt:lpstr>
      <vt:lpstr>Inst!Print_Area</vt:lpstr>
      <vt:lpstr>InstMan!Print_Area</vt:lpstr>
      <vt:lpstr>PTR!Print_Area</vt:lpstr>
      <vt:lpstr>'PTR (2)'!Print_Area</vt:lpstr>
      <vt:lpstr>'Rural enrl'!Print_Area</vt:lpstr>
      <vt:lpstr>'SC-Population'!Print_Area</vt:lpstr>
      <vt:lpstr>'ST-Population'!Print_Area</vt:lpstr>
      <vt:lpstr>Teacher!Print_Area</vt:lpstr>
      <vt:lpstr>'Total Population '!Print_Area</vt:lpstr>
      <vt:lpstr>TrainedTeacher!Print_Area</vt:lpstr>
      <vt:lpstr>'%age Rural enrl'!Print_Titles</vt:lpstr>
      <vt:lpstr>Disabled!Print_Titles</vt:lpstr>
      <vt:lpstr>DropOut!Print_Titles</vt:lpstr>
      <vt:lpstr>EnrlAll!Print_Titles</vt:lpstr>
      <vt:lpstr>'Enrl-BackSeries'!Print_Titles</vt:lpstr>
      <vt:lpstr>EnrlOS!Print_Titles</vt:lpstr>
      <vt:lpstr>EnrlSC!Print_Titles</vt:lpstr>
      <vt:lpstr>'Enrl-School'!Print_Titles</vt:lpstr>
      <vt:lpstr>EnrlST!Print_Titles</vt:lpstr>
      <vt:lpstr>'F-MTeacher'!Print_Titles</vt:lpstr>
      <vt:lpstr>'G-B'!Print_Titles</vt:lpstr>
      <vt:lpstr>'G-BSC'!Print_Titles</vt:lpstr>
      <vt:lpstr>'G-BST'!Print_Titles</vt:lpstr>
      <vt:lpstr>GERAll!Print_Titles</vt:lpstr>
      <vt:lpstr>GERSC!Print_Titles</vt:lpstr>
      <vt:lpstr>GERST!Print_Titles</vt:lpstr>
      <vt:lpstr>GPI!Print_Titles</vt:lpstr>
      <vt:lpstr>GPISC!Print_Titles</vt:lpstr>
      <vt:lpstr>GPIST!Print_Titles</vt:lpstr>
      <vt:lpstr>Inst!Print_Titles</vt:lpstr>
      <vt:lpstr>InstMan!Print_Titles</vt:lpstr>
      <vt:lpstr>PTR!Print_Titles</vt:lpstr>
      <vt:lpstr>'PTR (2)'!Print_Titles</vt:lpstr>
      <vt:lpstr>'Rural enrl'!Print_Titles</vt:lpstr>
      <vt:lpstr>'SC-Population'!Print_Titles</vt:lpstr>
      <vt:lpstr>'ST-Population'!Print_Titles</vt:lpstr>
      <vt:lpstr>Teacher!Print_Titles</vt:lpstr>
      <vt:lpstr>'Total Population '!Print_Titles</vt:lpstr>
      <vt:lpstr>TrainedTeacher!Print_Titles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2015-08-25T21:11:02Z</dcterms:modified>
</cp:coreProperties>
</file>